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T" sheetId="1" r:id="rId5"/>
    <sheet state="hidden" name="Marketview_Config" sheetId="2" r:id="rId6"/>
    <sheet state="hidden" name="WFC" sheetId="3" r:id="rId7"/>
    <sheet state="hidden" name="KO" sheetId="4" r:id="rId8"/>
    <sheet state="hidden" name="PFE" sheetId="5" r:id="rId9"/>
    <sheet state="visible" name="Option Wheel" sheetId="6" r:id="rId10"/>
    <sheet state="visible" name="PremiumsBreakdown" sheetId="7" r:id="rId11"/>
    <sheet state="visible" name="Iron Condor" sheetId="8" r:id="rId12"/>
    <sheet state="visible" name="Sheet2" sheetId="9" r:id="rId13"/>
    <sheet state="visible" name="Sheet1" sheetId="10" r:id="rId14"/>
  </sheets>
  <definedNames>
    <definedName hidden="1" localSheetId="5" name="_xlnm._FilterDatabase">'Option Wheel'!$B$6:$AA$291</definedName>
    <definedName hidden="1" localSheetId="7" name="_xlnm._FilterDatabase">'Iron Condor'!$B$6:$X$16</definedName>
  </definedNames>
  <calcPr/>
</workbook>
</file>

<file path=xl/sharedStrings.xml><?xml version="1.0" encoding="utf-8"?>
<sst xmlns="http://schemas.openxmlformats.org/spreadsheetml/2006/main" count="1960" uniqueCount="127">
  <si>
    <t>Symbol</t>
  </si>
  <si>
    <t>T</t>
  </si>
  <si>
    <t xml:space="preserve">Overall Profit:   </t>
  </si>
  <si>
    <t>Current Stock Price</t>
  </si>
  <si>
    <t>Option Information</t>
  </si>
  <si>
    <t>Stock Information</t>
  </si>
  <si>
    <t>Opened</t>
  </si>
  <si>
    <t>C / P</t>
  </si>
  <si>
    <t>Buy/Sell</t>
  </si>
  <si>
    <t>Expiration</t>
  </si>
  <si>
    <t>Strike</t>
  </si>
  <si>
    <t>QTY</t>
  </si>
  <si>
    <t>Price</t>
  </si>
  <si>
    <t>Credit</t>
  </si>
  <si>
    <t>Closed/Expired/Rolled</t>
  </si>
  <si>
    <t>Date Closed</t>
  </si>
  <si>
    <t>Closing Cost</t>
  </si>
  <si>
    <t>Debit</t>
  </si>
  <si>
    <t>Profit</t>
  </si>
  <si>
    <t>Yield</t>
  </si>
  <si>
    <t>Days Held</t>
  </si>
  <si>
    <t>Date</t>
  </si>
  <si>
    <t>Assigned/Call</t>
  </si>
  <si>
    <t>Shares</t>
  </si>
  <si>
    <t>Cost</t>
  </si>
  <si>
    <t>Invested</t>
  </si>
  <si>
    <t>Call</t>
  </si>
  <si>
    <t>Sell</t>
  </si>
  <si>
    <t>Open</t>
  </si>
  <si>
    <t>Buy</t>
  </si>
  <si>
    <t>Investment</t>
  </si>
  <si>
    <t>Current Value</t>
  </si>
  <si>
    <t>Orig. Cost Basis</t>
  </si>
  <si>
    <t>Adj. Cost Basis</t>
  </si>
  <si>
    <t>Overall Profit</t>
  </si>
  <si>
    <t>Profit (%)</t>
  </si>
  <si>
    <t>Curr. Stock Profit</t>
  </si>
  <si>
    <t>Wheel Profit</t>
  </si>
  <si>
    <t>Strike Profit</t>
  </si>
  <si>
    <t>Exercised Profit</t>
  </si>
  <si>
    <t>Total Contracts</t>
  </si>
  <si>
    <t>Current Strike</t>
  </si>
  <si>
    <t>THIS SHEET IS USED BY MARKETVIEW ADD-ON, PLEASE DO NOT MODIFY OR DELETE IT!</t>
  </si>
  <si>
    <t>johnchen86@gmail.com</t>
  </si>
  <si>
    <t>WFC</t>
  </si>
  <si>
    <t>Closed</t>
  </si>
  <si>
    <t>KO</t>
  </si>
  <si>
    <t>PFE</t>
  </si>
  <si>
    <t>Retiring Early at 34 with over $1m</t>
  </si>
  <si>
    <t>How I Traveled The World For A Year And Increased My Net Worth</t>
  </si>
  <si>
    <t>Options Wheel Tracker</t>
  </si>
  <si>
    <t>Profit Target</t>
  </si>
  <si>
    <t>Unrealized MTM</t>
  </si>
  <si>
    <t>Premium Profit</t>
  </si>
  <si>
    <t>Realized MTM</t>
  </si>
  <si>
    <t>Stock Information (Assignment)</t>
  </si>
  <si>
    <t>Strategy</t>
  </si>
  <si>
    <t>Ticker</t>
  </si>
  <si>
    <t>Current Px</t>
  </si>
  <si>
    <t>Greeks (IV%)</t>
  </si>
  <si>
    <t>Greeks (Delta)</t>
  </si>
  <si>
    <t>Moneyness</t>
  </si>
  <si>
    <t>Premium</t>
  </si>
  <si>
    <t>Status</t>
  </si>
  <si>
    <t>Profit Stop</t>
  </si>
  <si>
    <t>Profit Yield</t>
  </si>
  <si>
    <t>Divi</t>
  </si>
  <si>
    <t>Divi Yield</t>
  </si>
  <si>
    <t>Days to Expiry</t>
  </si>
  <si>
    <t>Date Assigned</t>
  </si>
  <si>
    <t>Basis</t>
  </si>
  <si>
    <t>Option Premiums</t>
  </si>
  <si>
    <t>Called Date</t>
  </si>
  <si>
    <t>Closing Price</t>
  </si>
  <si>
    <t>MTM P&amp;L</t>
  </si>
  <si>
    <t>Wheel</t>
  </si>
  <si>
    <t>ARKK</t>
  </si>
  <si>
    <t>MARA</t>
  </si>
  <si>
    <t>VGT</t>
  </si>
  <si>
    <t>NIO</t>
  </si>
  <si>
    <t>FL</t>
  </si>
  <si>
    <t>MSFT</t>
  </si>
  <si>
    <t>Put</t>
  </si>
  <si>
    <t>Assigned</t>
  </si>
  <si>
    <t>DKNG</t>
  </si>
  <si>
    <t>AMD</t>
  </si>
  <si>
    <t>Expired</t>
  </si>
  <si>
    <t>ABNB</t>
  </si>
  <si>
    <t>TQQQ</t>
  </si>
  <si>
    <t>AAPL</t>
  </si>
  <si>
    <t>PUT</t>
  </si>
  <si>
    <t>CC</t>
  </si>
  <si>
    <t>NRZ</t>
  </si>
  <si>
    <t>GM</t>
  </si>
  <si>
    <t>Option Closed</t>
  </si>
  <si>
    <t/>
  </si>
  <si>
    <t>CHPT</t>
  </si>
  <si>
    <t>RBLX</t>
  </si>
  <si>
    <t>Rolled</t>
  </si>
  <si>
    <t>VCR</t>
  </si>
  <si>
    <t>ARKW</t>
  </si>
  <si>
    <t>NVDA</t>
  </si>
  <si>
    <t>VHT</t>
  </si>
  <si>
    <t>BBY</t>
  </si>
  <si>
    <t>ARKQ</t>
  </si>
  <si>
    <t>CSP</t>
  </si>
  <si>
    <t>VDC</t>
  </si>
  <si>
    <t>SPY</t>
  </si>
  <si>
    <t>ARKG</t>
  </si>
  <si>
    <t>RITM</t>
  </si>
  <si>
    <t>BRK.B</t>
  </si>
  <si>
    <t>VTI</t>
  </si>
  <si>
    <t>TSLA</t>
  </si>
  <si>
    <t>put</t>
  </si>
  <si>
    <t>Soxx</t>
  </si>
  <si>
    <t>IGM</t>
  </si>
  <si>
    <t xml:space="preserve">SUM of </t>
  </si>
  <si>
    <t>Grand Total</t>
  </si>
  <si>
    <t>Iron Condor</t>
  </si>
  <si>
    <t>Close Date</t>
  </si>
  <si>
    <t>PL</t>
  </si>
  <si>
    <t>Net Premiums</t>
  </si>
  <si>
    <t># of Trades</t>
  </si>
  <si>
    <t>Average Yield</t>
  </si>
  <si>
    <t># Calls</t>
  </si>
  <si>
    <t># Puts</t>
  </si>
  <si>
    <t>Pending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</si>
</sst>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&quot;$&quot;#,##0.00"/>
    <numFmt numFmtId="165" formatCode="mm/dd/yyyy"/>
    <numFmt numFmtId="166" formatCode="_(&quot;$&quot;* #,##0.00_);_(&quot;$&quot;* \(#,##0.00\);_(&quot;$&quot;* &quot;-&quot;??_);_(@_)"/>
    <numFmt numFmtId="167" formatCode="\+&quot;$&quot;###,###.00;\-&quot;$&quot;###,###.00"/>
    <numFmt numFmtId="168" formatCode="\+###,##0.00%;\-###,##0.00%"/>
    <numFmt numFmtId="169" formatCode="_([$$-409]* #,##0.00_);_([$$-409]* \(#,##0.00\);_([$$-409]* &quot;-&quot;??_);_(@_)"/>
    <numFmt numFmtId="170" formatCode="[$$]#,##0"/>
    <numFmt numFmtId="171" formatCode="&quot;$&quot;#,##0.000"/>
    <numFmt numFmtId="172" formatCode="&quot;$&quot;#,##0"/>
    <numFmt numFmtId="173" formatCode="m/d"/>
    <numFmt numFmtId="174" formatCode="M/d/yyyy"/>
    <numFmt numFmtId="175" formatCode="m/d/yyyy"/>
  </numFmts>
  <fonts count="49">
    <font>
      <sz val="11.0"/>
      <color theme="1"/>
      <name val="Verdana"/>
      <scheme val="minor"/>
    </font>
    <font>
      <sz val="11.0"/>
      <color theme="1"/>
      <name val="Arial"/>
    </font>
    <font>
      <sz val="11.0"/>
      <color theme="1"/>
      <name val="Calibri"/>
    </font>
    <font>
      <sz val="18.0"/>
      <color rgb="FFFFFFFF"/>
      <name val="Calibri"/>
    </font>
    <font>
      <sz val="18.0"/>
      <color theme="1"/>
      <name val="Calibri"/>
    </font>
    <font>
      <sz val="16.0"/>
      <color theme="1"/>
      <name val="Calibri"/>
    </font>
    <font/>
    <font>
      <sz val="11.0"/>
      <color rgb="FFF2F2F2"/>
      <name val="Calibri"/>
    </font>
    <font>
      <sz val="11.0"/>
      <color rgb="FFFFFFFF"/>
      <name val="Calibri"/>
    </font>
    <font>
      <sz val="20.0"/>
      <color theme="1"/>
      <name val="Calibri"/>
    </font>
    <font>
      <sz val="11.0"/>
      <color theme="0"/>
      <name val="Calibri"/>
    </font>
    <font>
      <sz val="11.0"/>
      <color rgb="FF444444"/>
      <name val="Calibri"/>
    </font>
    <font>
      <sz val="11.0"/>
      <color rgb="FF000000"/>
      <name val="Calibri"/>
    </font>
    <font>
      <b/>
      <color rgb="FFFFFFFF"/>
      <name val="Verdana"/>
      <scheme val="minor"/>
    </font>
    <font>
      <color theme="1"/>
      <name val="Verdana"/>
      <scheme val="minor"/>
    </font>
    <font>
      <sz val="11.0"/>
      <color rgb="FF000000"/>
      <name val="Inconsolata"/>
    </font>
    <font>
      <b/>
      <u/>
      <sz val="14.0"/>
      <color rgb="FFE06666"/>
      <name val="Archivo Black"/>
    </font>
    <font>
      <b/>
      <u/>
      <sz val="14.0"/>
      <color rgb="FF1155CC"/>
      <name val="Archivo Black"/>
    </font>
    <font>
      <b/>
      <sz val="36.0"/>
      <color rgb="FFFFFFFF"/>
      <name val="Nunito"/>
    </font>
    <font>
      <b/>
      <sz val="10.0"/>
      <color rgb="FF2C2C4D"/>
      <name val="Calibri"/>
    </font>
    <font>
      <b/>
      <sz val="11.0"/>
      <color rgb="FF2C2C4D"/>
      <name val="Calibri"/>
    </font>
    <font>
      <b/>
      <u/>
      <sz val="12.0"/>
      <color rgb="FF000000"/>
      <name val="Calibri"/>
    </font>
    <font>
      <b/>
      <sz val="14.0"/>
      <color theme="1"/>
      <name val="Calibri"/>
    </font>
    <font>
      <b/>
      <u/>
      <sz val="18.0"/>
      <color rgb="FF000000"/>
      <name val="Calibri"/>
    </font>
    <font>
      <b/>
      <u/>
      <sz val="18.0"/>
      <color rgb="FFFFFFFF"/>
      <name val="Calibri"/>
    </font>
    <font>
      <b/>
      <sz val="18.0"/>
      <color rgb="FFFFFFFF"/>
      <name val="Bree Serif"/>
    </font>
    <font>
      <b/>
      <sz val="9.0"/>
      <color rgb="FFFFFFFF"/>
      <name val="Proxima Nova"/>
    </font>
    <font>
      <b/>
      <sz val="9.0"/>
      <color theme="0"/>
      <name val="Proxima Nova"/>
    </font>
    <font>
      <sz val="9.0"/>
      <color theme="1"/>
      <name val="Proxima Nova"/>
    </font>
    <font>
      <sz val="9.0"/>
      <color rgb="FF2C2C4D"/>
      <name val="Proxima Nova"/>
    </font>
    <font>
      <sz val="9.0"/>
      <color rgb="FF444444"/>
      <name val="Proxima Nova"/>
    </font>
    <font>
      <sz val="7.0"/>
      <color rgb="FF666666"/>
      <name val="Proxima Nova"/>
    </font>
    <font>
      <b/>
      <sz val="9.0"/>
      <color rgb="FF444444"/>
      <name val="Proxima Nova"/>
    </font>
    <font>
      <b/>
      <sz val="9.0"/>
      <color rgb="FF980000"/>
      <name val="Proxima Nova"/>
    </font>
    <font>
      <b/>
      <sz val="9.0"/>
      <color theme="1"/>
      <name val="Proxima Nova"/>
    </font>
    <font>
      <b/>
      <sz val="9.0"/>
      <color rgb="FF2C2C4D"/>
      <name val="Proxima Nova"/>
    </font>
    <font>
      <b/>
      <sz val="11.0"/>
      <color theme="1"/>
      <name val="Calibri"/>
    </font>
    <font>
      <b/>
      <sz val="11.0"/>
      <color theme="1"/>
      <name val="Arial"/>
    </font>
    <font>
      <sz val="11.0"/>
      <color theme="1"/>
      <name val="Verdana"/>
    </font>
    <font>
      <sz val="9.0"/>
      <color rgb="FF2C2C4D"/>
      <name val="Calibri"/>
    </font>
    <font>
      <sz val="9.0"/>
      <color theme="1"/>
      <name val="Calibri"/>
    </font>
    <font>
      <sz val="9.0"/>
      <color rgb="FF444444"/>
      <name val="Calibri"/>
    </font>
    <font>
      <sz val="7.0"/>
      <color rgb="FF666666"/>
      <name val="Calibri"/>
    </font>
    <font>
      <b/>
      <sz val="12.0"/>
      <color theme="1"/>
      <name val="Calibri"/>
    </font>
    <font>
      <b/>
      <sz val="12.0"/>
      <color theme="1"/>
      <name val="Playfair Display"/>
    </font>
    <font>
      <b/>
      <sz val="12.0"/>
      <color theme="1"/>
      <name val="Arial"/>
    </font>
    <font>
      <sz val="11.0"/>
      <color rgb="FF2C2C4D"/>
      <name val="Calibri"/>
    </font>
    <font>
      <sz val="9.0"/>
      <color theme="1"/>
      <name val="Verdana"/>
      <scheme val="minor"/>
    </font>
    <font>
      <b/>
      <color theme="1"/>
      <name val="Verdana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2F5496"/>
        <bgColor rgb="FF2F5496"/>
      </patternFill>
    </fill>
    <fill>
      <patternFill patternType="solid">
        <fgColor rgb="FFFFFFFF"/>
        <bgColor rgb="FFFFFFFF"/>
      </patternFill>
    </fill>
    <fill>
      <patternFill patternType="solid">
        <fgColor rgb="FF434343"/>
        <bgColor rgb="FF434343"/>
      </patternFill>
    </fill>
    <fill>
      <patternFill patternType="solid">
        <fgColor rgb="FFDDEBF7"/>
        <bgColor rgb="FFDDEBF7"/>
      </patternFill>
    </fill>
    <fill>
      <patternFill patternType="solid">
        <fgColor rgb="FFFF0000"/>
        <bgColor rgb="FFFF0000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FCE5CD"/>
        <bgColor rgb="FFFCE5CD"/>
      </patternFill>
    </fill>
    <fill>
      <patternFill patternType="solid">
        <fgColor rgb="FFB6D7A8"/>
        <bgColor rgb="FFB6D7A8"/>
      </patternFill>
    </fill>
    <fill>
      <patternFill patternType="solid">
        <fgColor rgb="FF38761D"/>
        <bgColor rgb="FF38761D"/>
      </patternFill>
    </fill>
    <fill>
      <patternFill patternType="solid">
        <fgColor rgb="FF073763"/>
        <bgColor rgb="FF073763"/>
      </patternFill>
    </fill>
    <fill>
      <patternFill patternType="solid">
        <fgColor rgb="FFEFEFEF"/>
        <bgColor rgb="FFEFEFEF"/>
      </patternFill>
    </fill>
    <fill>
      <patternFill patternType="solid">
        <fgColor rgb="FFF4C7C3"/>
        <bgColor rgb="FFF4C7C3"/>
      </patternFill>
    </fill>
    <fill>
      <patternFill patternType="solid">
        <fgColor rgb="FFB7E1CD"/>
        <bgColor rgb="FFB7E1CD"/>
      </patternFill>
    </fill>
    <fill>
      <patternFill patternType="solid">
        <fgColor rgb="FFE67C73"/>
        <bgColor rgb="FFE67C73"/>
      </patternFill>
    </fill>
  </fills>
  <borders count="60">
    <border/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/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/>
      <top style="thin">
        <color rgb="FF000000"/>
      </top>
    </border>
    <border>
      <left/>
      <right/>
      <top/>
      <bottom/>
    </border>
    <border>
      <left/>
      <top/>
    </border>
    <border>
      <right style="thin">
        <color rgb="FF000000"/>
      </right>
      <top/>
    </border>
    <border>
      <right style="thin">
        <color rgb="FF000000"/>
      </right>
      <top style="thin">
        <color rgb="FF000000"/>
      </top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/>
    </border>
    <border>
      <left style="thin">
        <color rgb="FF000000"/>
      </left>
      <bottom/>
    </border>
    <border>
      <right/>
      <bottom/>
    </border>
    <border>
      <left/>
      <bottom/>
    </border>
    <border>
      <right style="thin">
        <color rgb="FF000000"/>
      </right>
      <bottom/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/>
      <top/>
      <bottom/>
    </border>
    <border>
      <left/>
      <right/>
      <bottom/>
    </border>
    <border>
      <left/>
      <right/>
      <top/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/>
      <bottom/>
    </border>
    <border>
      <right style="thin">
        <color rgb="FF000000"/>
      </right>
      <top/>
      <bottom/>
    </border>
    <border>
      <left style="thin">
        <color rgb="FF505050"/>
      </left>
      <top style="thin">
        <color rgb="FF505050"/>
      </top>
    </border>
    <border>
      <right style="thin">
        <color rgb="FF505050"/>
      </right>
      <top style="thin">
        <color rgb="FF50505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505050"/>
      </left>
      <bottom style="thin">
        <color rgb="FF505050"/>
      </bottom>
    </border>
    <border>
      <right style="thin">
        <color rgb="FF505050"/>
      </right>
      <bottom style="thin">
        <color rgb="FF505050"/>
      </bottom>
    </border>
    <border>
      <left/>
      <right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</border>
    <border>
      <left style="thin">
        <color rgb="FF000000"/>
      </left>
      <right/>
      <top/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right/>
      <top/>
      <bottom/>
    </border>
    <border>
      <left style="thick">
        <color rgb="FFE06666"/>
      </left>
      <right style="thick">
        <color rgb="FFE06666"/>
      </right>
      <top style="thick">
        <color rgb="FFE06666"/>
      </top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000000"/>
      </left>
      <top/>
    </border>
    <border>
      <left style="thin">
        <color rgb="FFCCCCCC"/>
      </left>
      <right style="thin">
        <color rgb="FFCCCCCC"/>
      </right>
      <top style="thin">
        <color rgb="FFCCCCCC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/>
      <right/>
      <top style="thick">
        <color rgb="FF000000"/>
      </top>
      <bottom style="thin">
        <color rgb="FF000000"/>
      </bottom>
    </border>
    <border>
      <right style="thin">
        <color rgb="FF000000"/>
      </right>
      <top style="thick">
        <color rgb="FF000000"/>
      </top>
      <bottom style="thin">
        <color rgb="FF000000"/>
      </bottom>
    </border>
    <border>
      <top style="thick">
        <color rgb="FF000000"/>
      </top>
    </border>
  </borders>
  <cellStyleXfs count="1">
    <xf borderId="0" fillId="0" fontId="0" numFmtId="0" applyAlignment="1" applyFont="1"/>
  </cellStyleXfs>
  <cellXfs count="389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1" numFmtId="0" xfId="0" applyBorder="1" applyFont="1"/>
    <xf borderId="3" fillId="2" fontId="1" numFmtId="0" xfId="0" applyBorder="1" applyFont="1"/>
    <xf borderId="4" fillId="2" fontId="1" numFmtId="0" xfId="0" applyBorder="1" applyFont="1"/>
    <xf borderId="0" fillId="0" fontId="1" numFmtId="0" xfId="0" applyFont="1"/>
    <xf borderId="5" fillId="2" fontId="2" numFmtId="0" xfId="0" applyAlignment="1" applyBorder="1" applyFont="1">
      <alignment horizontal="center"/>
    </xf>
    <xf borderId="6" fillId="3" fontId="3" numFmtId="0" xfId="0" applyAlignment="1" applyBorder="1" applyFill="1" applyFont="1">
      <alignment horizontal="center" vertical="center"/>
    </xf>
    <xf borderId="6" fillId="4" fontId="4" numFmtId="0" xfId="0" applyAlignment="1" applyBorder="1" applyFill="1" applyFont="1">
      <alignment horizontal="center" readingOrder="0" shrinkToFit="0" vertical="center" wrapText="1"/>
    </xf>
    <xf borderId="7" fillId="2" fontId="5" numFmtId="0" xfId="0" applyAlignment="1" applyBorder="1" applyFont="1">
      <alignment horizontal="left" readingOrder="0" shrinkToFit="0" vertical="center" wrapText="1"/>
    </xf>
    <xf borderId="8" fillId="3" fontId="3" numFmtId="0" xfId="0" applyAlignment="1" applyBorder="1" applyFont="1">
      <alignment horizontal="left" vertical="center"/>
    </xf>
    <xf borderId="9" fillId="0" fontId="6" numFmtId="0" xfId="0" applyBorder="1" applyFont="1"/>
    <xf borderId="10" fillId="0" fontId="6" numFmtId="0" xfId="0" applyBorder="1" applyFont="1"/>
    <xf borderId="11" fillId="2" fontId="5" numFmtId="164" xfId="0" applyAlignment="1" applyBorder="1" applyFont="1" applyNumberFormat="1">
      <alignment vertical="center"/>
    </xf>
    <xf borderId="11" fillId="2" fontId="2" numFmtId="4" xfId="0" applyAlignment="1" applyBorder="1" applyFont="1" applyNumberFormat="1">
      <alignment vertical="center"/>
    </xf>
    <xf borderId="11" fillId="2" fontId="2" numFmtId="165" xfId="0" applyAlignment="1" applyBorder="1" applyFont="1" applyNumberFormat="1">
      <alignment vertical="center"/>
    </xf>
    <xf borderId="12" fillId="2" fontId="4" numFmtId="164" xfId="0" applyAlignment="1" applyBorder="1" applyFont="1" applyNumberFormat="1">
      <alignment horizontal="right" vertical="center"/>
    </xf>
    <xf borderId="7" fillId="0" fontId="6" numFmtId="0" xfId="0" applyBorder="1" applyFont="1"/>
    <xf borderId="13" fillId="0" fontId="6" numFmtId="0" xfId="0" applyBorder="1" applyFont="1"/>
    <xf borderId="8" fillId="2" fontId="4" numFmtId="164" xfId="0" applyAlignment="1" applyBorder="1" applyFont="1" applyNumberFormat="1">
      <alignment horizontal="center" vertical="center"/>
    </xf>
    <xf borderId="14" fillId="0" fontId="6" numFmtId="0" xfId="0" applyBorder="1" applyFont="1"/>
    <xf borderId="15" fillId="2" fontId="7" numFmtId="0" xfId="0" applyBorder="1" applyFont="1"/>
    <xf borderId="5" fillId="2" fontId="2" numFmtId="0" xfId="0" applyAlignment="1" applyBorder="1" applyFont="1">
      <alignment horizontal="center" vertical="center"/>
    </xf>
    <xf borderId="16" fillId="0" fontId="6" numFmtId="0" xfId="0" applyBorder="1" applyFont="1"/>
    <xf borderId="17" fillId="2" fontId="5" numFmtId="0" xfId="0" applyAlignment="1" applyBorder="1" applyFont="1">
      <alignment horizontal="left" readingOrder="0" shrinkToFit="0" vertical="center" wrapText="1"/>
    </xf>
    <xf borderId="18" fillId="0" fontId="6" numFmtId="0" xfId="0" applyBorder="1" applyFont="1"/>
    <xf borderId="17" fillId="0" fontId="6" numFmtId="0" xfId="0" applyBorder="1" applyFont="1"/>
    <xf borderId="19" fillId="0" fontId="6" numFmtId="0" xfId="0" applyBorder="1" applyFont="1"/>
    <xf borderId="20" fillId="0" fontId="6" numFmtId="0" xfId="0" applyBorder="1" applyFont="1"/>
    <xf borderId="21" fillId="0" fontId="6" numFmtId="0" xfId="0" applyBorder="1" applyFont="1"/>
    <xf borderId="22" fillId="0" fontId="6" numFmtId="0" xfId="0" applyBorder="1" applyFont="1"/>
    <xf borderId="23" fillId="0" fontId="6" numFmtId="0" xfId="0" applyBorder="1" applyFont="1"/>
    <xf borderId="24" fillId="0" fontId="6" numFmtId="0" xfId="0" applyBorder="1" applyFont="1"/>
    <xf borderId="15" fillId="2" fontId="2" numFmtId="0" xfId="0" applyAlignment="1" applyBorder="1" applyFont="1">
      <alignment horizontal="center" vertical="center"/>
    </xf>
    <xf borderId="25" fillId="2" fontId="2" numFmtId="0" xfId="0" applyAlignment="1" applyBorder="1" applyFont="1">
      <alignment horizontal="center" vertical="center"/>
    </xf>
    <xf borderId="26" fillId="2" fontId="5" numFmtId="0" xfId="0" applyAlignment="1" applyBorder="1" applyFont="1">
      <alignment horizontal="left" shrinkToFit="0" vertical="center" wrapText="1"/>
    </xf>
    <xf borderId="11" fillId="2" fontId="5" numFmtId="0" xfId="0" applyAlignment="1" applyBorder="1" applyFont="1">
      <alignment horizontal="left" shrinkToFit="0" vertical="center" wrapText="1"/>
    </xf>
    <xf borderId="27" fillId="2" fontId="5" numFmtId="0" xfId="0" applyAlignment="1" applyBorder="1" applyFont="1">
      <alignment horizontal="left" shrinkToFit="0" vertical="center" wrapText="1"/>
    </xf>
    <xf borderId="27" fillId="2" fontId="5" numFmtId="164" xfId="0" applyAlignment="1" applyBorder="1" applyFont="1" applyNumberFormat="1">
      <alignment horizontal="right" vertical="center"/>
    </xf>
    <xf borderId="27" fillId="2" fontId="5" numFmtId="164" xfId="0" applyAlignment="1" applyBorder="1" applyFont="1" applyNumberFormat="1">
      <alignment horizontal="center" vertical="center"/>
    </xf>
    <xf borderId="27" fillId="2" fontId="2" numFmtId="165" xfId="0" applyAlignment="1" applyBorder="1" applyFont="1" applyNumberFormat="1">
      <alignment vertical="center"/>
    </xf>
    <xf borderId="28" fillId="3" fontId="8" numFmtId="0" xfId="0" applyAlignment="1" applyBorder="1" applyFont="1">
      <alignment horizontal="center" vertical="center"/>
    </xf>
    <xf borderId="29" fillId="0" fontId="6" numFmtId="0" xfId="0" applyBorder="1" applyFont="1"/>
    <xf borderId="30" fillId="2" fontId="2" numFmtId="0" xfId="0" applyAlignment="1" applyBorder="1" applyFont="1">
      <alignment horizontal="center" vertical="center"/>
    </xf>
    <xf borderId="31" fillId="5" fontId="8" numFmtId="0" xfId="0" applyAlignment="1" applyBorder="1" applyFill="1" applyFont="1">
      <alignment horizontal="center" readingOrder="0" vertical="center"/>
    </xf>
    <xf borderId="32" fillId="0" fontId="6" numFmtId="0" xfId="0" applyBorder="1" applyFont="1"/>
    <xf borderId="33" fillId="0" fontId="6" numFmtId="0" xfId="0" applyBorder="1" applyFont="1"/>
    <xf borderId="34" fillId="2" fontId="2" numFmtId="0" xfId="0" applyAlignment="1" applyBorder="1" applyFont="1">
      <alignment horizontal="center" vertical="center"/>
    </xf>
    <xf borderId="35" fillId="2" fontId="2" numFmtId="0" xfId="0" applyAlignment="1" applyBorder="1" applyFont="1">
      <alignment horizontal="center" vertical="center"/>
    </xf>
    <xf borderId="36" fillId="0" fontId="9" numFmtId="164" xfId="0" applyAlignment="1" applyBorder="1" applyFont="1" applyNumberFormat="1">
      <alignment horizontal="center" vertical="center"/>
    </xf>
    <xf borderId="37" fillId="0" fontId="6" numFmtId="0" xfId="0" applyBorder="1" applyFont="1"/>
    <xf borderId="38" fillId="3" fontId="8" numFmtId="0" xfId="0" applyAlignment="1" applyBorder="1" applyFont="1">
      <alignment horizontal="center" vertical="center"/>
    </xf>
    <xf borderId="38" fillId="3" fontId="8" numFmtId="166" xfId="0" applyAlignment="1" applyBorder="1" applyFont="1" applyNumberFormat="1">
      <alignment horizontal="center" vertical="center"/>
    </xf>
    <xf borderId="38" fillId="3" fontId="10" numFmtId="165" xfId="0" applyAlignment="1" applyBorder="1" applyFont="1" applyNumberFormat="1">
      <alignment horizontal="center" vertical="center"/>
    </xf>
    <xf borderId="38" fillId="3" fontId="8" numFmtId="0" xfId="0" applyAlignment="1" applyBorder="1" applyFont="1">
      <alignment horizontal="center" readingOrder="0" vertical="center"/>
    </xf>
    <xf borderId="39" fillId="0" fontId="6" numFmtId="0" xfId="0" applyBorder="1" applyFont="1"/>
    <xf borderId="40" fillId="0" fontId="6" numFmtId="0" xfId="0" applyBorder="1" applyFont="1"/>
    <xf borderId="38" fillId="0" fontId="2" numFmtId="165" xfId="0" applyAlignment="1" applyBorder="1" applyFont="1" applyNumberFormat="1">
      <alignment horizontal="center" readingOrder="0" vertical="center"/>
    </xf>
    <xf borderId="38" fillId="0" fontId="2" numFmtId="166" xfId="0" applyAlignment="1" applyBorder="1" applyFont="1" applyNumberFormat="1">
      <alignment horizontal="center" vertical="center"/>
    </xf>
    <xf borderId="38" fillId="0" fontId="2" numFmtId="164" xfId="0" applyAlignment="1" applyBorder="1" applyFont="1" applyNumberFormat="1">
      <alignment horizontal="center" readingOrder="0" vertical="center"/>
    </xf>
    <xf borderId="38" fillId="0" fontId="2" numFmtId="3" xfId="0" applyAlignment="1" applyBorder="1" applyFont="1" applyNumberFormat="1">
      <alignment horizontal="center" vertical="center"/>
    </xf>
    <xf borderId="38" fillId="6" fontId="11" numFmtId="164" xfId="0" applyAlignment="1" applyBorder="1" applyFill="1" applyFont="1" applyNumberFormat="1">
      <alignment vertical="center"/>
    </xf>
    <xf borderId="38" fillId="0" fontId="2" numFmtId="0" xfId="0" applyAlignment="1" applyBorder="1" applyFont="1">
      <alignment horizontal="center" readingOrder="0" vertical="center"/>
    </xf>
    <xf borderId="38" fillId="0" fontId="2" numFmtId="165" xfId="0" applyAlignment="1" applyBorder="1" applyFont="1" applyNumberFormat="1">
      <alignment horizontal="center" vertical="center"/>
    </xf>
    <xf borderId="38" fillId="0" fontId="11" numFmtId="164" xfId="0" applyAlignment="1" applyBorder="1" applyFont="1" applyNumberFormat="1">
      <alignment vertical="center"/>
    </xf>
    <xf borderId="38" fillId="6" fontId="2" numFmtId="10" xfId="0" applyAlignment="1" applyBorder="1" applyFont="1" applyNumberFormat="1">
      <alignment horizontal="center" vertical="center"/>
    </xf>
    <xf borderId="38" fillId="6" fontId="2" numFmtId="3" xfId="0" applyAlignment="1" applyBorder="1" applyFont="1" applyNumberFormat="1">
      <alignment horizontal="center" vertical="center"/>
    </xf>
    <xf borderId="38" fillId="0" fontId="2" numFmtId="0" xfId="0" applyAlignment="1" applyBorder="1" applyFont="1">
      <alignment horizontal="center" vertical="center"/>
    </xf>
    <xf borderId="38" fillId="6" fontId="2" numFmtId="164" xfId="0" applyAlignment="1" applyBorder="1" applyFont="1" applyNumberFormat="1">
      <alignment horizontal="center" vertical="center"/>
    </xf>
    <xf borderId="38" fillId="0" fontId="2" numFmtId="164" xfId="0" applyAlignment="1" applyBorder="1" applyFont="1" applyNumberFormat="1">
      <alignment horizontal="center" vertical="center"/>
    </xf>
    <xf borderId="34" fillId="2" fontId="2" numFmtId="0" xfId="0" applyBorder="1" applyFont="1"/>
    <xf borderId="38" fillId="0" fontId="2" numFmtId="3" xfId="0" applyAlignment="1" applyBorder="1" applyFont="1" applyNumberFormat="1">
      <alignment horizontal="center" readingOrder="0" vertical="center"/>
    </xf>
    <xf borderId="35" fillId="2" fontId="2" numFmtId="0" xfId="0" applyBorder="1" applyFont="1"/>
    <xf borderId="38" fillId="2" fontId="2" numFmtId="164" xfId="0" applyAlignment="1" applyBorder="1" applyFont="1" applyNumberFormat="1">
      <alignment horizontal="center" vertical="center"/>
    </xf>
    <xf borderId="38" fillId="4" fontId="2" numFmtId="164" xfId="0" applyAlignment="1" applyBorder="1" applyFont="1" applyNumberFormat="1">
      <alignment horizontal="center" vertical="center"/>
    </xf>
    <xf borderId="25" fillId="2" fontId="2" numFmtId="0" xfId="0" applyAlignment="1" applyBorder="1" applyFont="1">
      <alignment horizontal="center"/>
    </xf>
    <xf borderId="41" fillId="2" fontId="2" numFmtId="0" xfId="0" applyAlignment="1" applyBorder="1" applyFont="1">
      <alignment horizontal="center" vertical="center"/>
    </xf>
    <xf borderId="41" fillId="2" fontId="2" numFmtId="0" xfId="0" applyAlignment="1" applyBorder="1" applyFont="1">
      <alignment vertical="center"/>
    </xf>
    <xf borderId="30" fillId="2" fontId="2" numFmtId="0" xfId="0" applyBorder="1" applyFont="1"/>
    <xf borderId="38" fillId="0" fontId="2" numFmtId="166" xfId="0" applyAlignment="1" applyBorder="1" applyFont="1" applyNumberFormat="1">
      <alignment horizontal="center" readingOrder="0" vertical="center"/>
    </xf>
    <xf borderId="38" fillId="0" fontId="11" numFmtId="164" xfId="0" applyAlignment="1" applyBorder="1" applyFont="1" applyNumberFormat="1">
      <alignment readingOrder="0" vertical="center"/>
    </xf>
    <xf borderId="0" fillId="0" fontId="1" numFmtId="167" xfId="0" applyFont="1" applyNumberFormat="1"/>
    <xf borderId="38" fillId="4" fontId="12" numFmtId="168" xfId="0" applyAlignment="1" applyBorder="1" applyFont="1" applyNumberFormat="1">
      <alignment horizontal="center" vertical="center"/>
    </xf>
    <xf borderId="26" fillId="2" fontId="2" numFmtId="0" xfId="0" applyAlignment="1" applyBorder="1" applyFont="1">
      <alignment vertical="center"/>
    </xf>
    <xf borderId="42" fillId="3" fontId="8" numFmtId="0" xfId="0" applyAlignment="1" applyBorder="1" applyFont="1">
      <alignment horizontal="center" vertical="center"/>
    </xf>
    <xf borderId="43" fillId="3" fontId="8" numFmtId="0" xfId="0" applyAlignment="1" applyBorder="1" applyFont="1">
      <alignment horizontal="center" readingOrder="0" vertical="center"/>
    </xf>
    <xf borderId="42" fillId="2" fontId="2" numFmtId="164" xfId="0" applyAlignment="1" applyBorder="1" applyFont="1" applyNumberFormat="1">
      <alignment horizontal="center" vertical="center"/>
    </xf>
    <xf borderId="43" fillId="4" fontId="12" numFmtId="168" xfId="0" applyAlignment="1" applyBorder="1" applyFont="1" applyNumberFormat="1">
      <alignment horizontal="center" vertical="center"/>
    </xf>
    <xf borderId="11" fillId="2" fontId="2" numFmtId="0" xfId="0" applyAlignment="1" applyBorder="1" applyFont="1">
      <alignment vertical="center"/>
    </xf>
    <xf borderId="38" fillId="0" fontId="2" numFmtId="14" xfId="0" applyAlignment="1" applyBorder="1" applyFont="1" applyNumberFormat="1">
      <alignment horizontal="center" vertical="center"/>
    </xf>
    <xf borderId="38" fillId="4" fontId="2" numFmtId="166" xfId="0" applyAlignment="1" applyBorder="1" applyFont="1" applyNumberFormat="1">
      <alignment horizontal="center" vertical="center"/>
    </xf>
    <xf borderId="38" fillId="4" fontId="2" numFmtId="165" xfId="0" applyAlignment="1" applyBorder="1" applyFont="1" applyNumberFormat="1">
      <alignment horizontal="center" vertical="center"/>
    </xf>
    <xf borderId="43" fillId="3" fontId="8" numFmtId="0" xfId="0" applyAlignment="1" applyBorder="1" applyFont="1">
      <alignment horizontal="center" vertical="center"/>
    </xf>
    <xf borderId="38" fillId="0" fontId="1" numFmtId="0" xfId="0" applyBorder="1" applyFont="1"/>
    <xf borderId="38" fillId="0" fontId="1" numFmtId="164" xfId="0" applyBorder="1" applyFont="1" applyNumberFormat="1"/>
    <xf borderId="35" fillId="2" fontId="2" numFmtId="169" xfId="0" applyBorder="1" applyFont="1" applyNumberFormat="1"/>
    <xf borderId="38" fillId="3" fontId="10" numFmtId="0" xfId="0" applyAlignment="1" applyBorder="1" applyFont="1">
      <alignment horizontal="center" vertical="center"/>
    </xf>
    <xf borderId="38" fillId="4" fontId="2" numFmtId="3" xfId="0" applyAlignment="1" applyBorder="1" applyFont="1" applyNumberFormat="1">
      <alignment horizontal="center" vertical="center"/>
    </xf>
    <xf borderId="43" fillId="4" fontId="2" numFmtId="164" xfId="0" applyAlignment="1" applyBorder="1" applyFont="1" applyNumberFormat="1">
      <alignment horizontal="center" vertical="center"/>
    </xf>
    <xf borderId="44" fillId="2" fontId="2" numFmtId="0" xfId="0" applyAlignment="1" applyBorder="1" applyFont="1">
      <alignment horizontal="center"/>
    </xf>
    <xf borderId="0" fillId="2" fontId="2" numFmtId="0" xfId="0" applyFont="1"/>
    <xf borderId="12" fillId="2" fontId="2" numFmtId="0" xfId="0" applyBorder="1" applyFont="1"/>
    <xf borderId="45" fillId="2" fontId="2" numFmtId="0" xfId="0" applyAlignment="1" applyBorder="1" applyFont="1">
      <alignment horizontal="center"/>
    </xf>
    <xf borderId="46" fillId="2" fontId="2" numFmtId="0" xfId="0" applyBorder="1" applyFont="1"/>
    <xf borderId="47" fillId="2" fontId="2" numFmtId="165" xfId="0" applyAlignment="1" applyBorder="1" applyFont="1" applyNumberFormat="1">
      <alignment horizontal="center" vertical="center"/>
    </xf>
    <xf borderId="47" fillId="2" fontId="2" numFmtId="166" xfId="0" applyAlignment="1" applyBorder="1" applyFont="1" applyNumberFormat="1">
      <alignment horizontal="center" vertical="center"/>
    </xf>
    <xf borderId="47" fillId="2" fontId="2" numFmtId="0" xfId="0" applyAlignment="1" applyBorder="1" applyFont="1">
      <alignment horizontal="center" vertical="center"/>
    </xf>
    <xf borderId="47" fillId="2" fontId="1" numFmtId="0" xfId="0" applyBorder="1" applyFont="1"/>
    <xf borderId="48" fillId="2" fontId="2" numFmtId="0" xfId="0" applyBorder="1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vertical="center"/>
    </xf>
    <xf borderId="0" fillId="0" fontId="2" numFmtId="0" xfId="0" applyFont="1"/>
    <xf borderId="0" fillId="0" fontId="2" numFmtId="165" xfId="0" applyAlignment="1" applyFont="1" applyNumberFormat="1">
      <alignment horizontal="center" vertical="center"/>
    </xf>
    <xf borderId="0" fillId="0" fontId="2" numFmtId="166" xfId="0" applyAlignment="1" applyFont="1" applyNumberFormat="1">
      <alignment horizontal="center" vertical="center"/>
    </xf>
    <xf borderId="0" fillId="0" fontId="2" numFmtId="166" xfId="0" applyAlignment="1" applyFont="1" applyNumberFormat="1">
      <alignment horizontal="left" vertical="center"/>
    </xf>
    <xf borderId="0" fillId="7" fontId="13" numFmtId="0" xfId="0" applyAlignment="1" applyFill="1" applyFont="1">
      <alignment readingOrder="0"/>
    </xf>
    <xf borderId="0" fillId="0" fontId="14" numFmtId="0" xfId="0" applyAlignment="1" applyFont="1">
      <alignment readingOrder="0"/>
    </xf>
    <xf borderId="6" fillId="8" fontId="4" numFmtId="0" xfId="0" applyAlignment="1" applyBorder="1" applyFill="1" applyFont="1">
      <alignment horizontal="center" readingOrder="0" shrinkToFit="0" vertical="center" wrapText="1"/>
    </xf>
    <xf borderId="0" fillId="4" fontId="15" numFmtId="0" xfId="0" applyFont="1"/>
    <xf borderId="8" fillId="9" fontId="4" numFmtId="164" xfId="0" applyAlignment="1" applyBorder="1" applyFill="1" applyFont="1" applyNumberFormat="1">
      <alignment horizontal="center" vertical="center"/>
    </xf>
    <xf borderId="11" fillId="2" fontId="5" numFmtId="164" xfId="0" applyAlignment="1" applyBorder="1" applyFont="1" applyNumberFormat="1">
      <alignment horizontal="right" vertical="center"/>
    </xf>
    <xf borderId="11" fillId="2" fontId="5" numFmtId="164" xfId="0" applyAlignment="1" applyBorder="1" applyFont="1" applyNumberFormat="1">
      <alignment horizontal="center" vertical="center"/>
    </xf>
    <xf borderId="11" fillId="2" fontId="2" numFmtId="0" xfId="0" applyAlignment="1" applyBorder="1" applyFont="1">
      <alignment horizontal="center" vertical="center"/>
    </xf>
    <xf borderId="0" fillId="5" fontId="8" numFmtId="0" xfId="0" applyAlignment="1" applyFont="1">
      <alignment horizontal="center" readingOrder="0" vertical="center"/>
    </xf>
    <xf borderId="36" fillId="9" fontId="9" numFmtId="164" xfId="0" applyAlignment="1" applyBorder="1" applyFont="1" applyNumberFormat="1">
      <alignment horizontal="center" vertical="center"/>
    </xf>
    <xf borderId="38" fillId="8" fontId="2" numFmtId="165" xfId="0" applyAlignment="1" applyBorder="1" applyFont="1" applyNumberFormat="1">
      <alignment horizontal="center" readingOrder="0" vertical="center"/>
    </xf>
    <xf borderId="38" fillId="8" fontId="2" numFmtId="166" xfId="0" applyAlignment="1" applyBorder="1" applyFont="1" applyNumberFormat="1">
      <alignment horizontal="center" vertical="center"/>
    </xf>
    <xf borderId="38" fillId="8" fontId="2" numFmtId="166" xfId="0" applyAlignment="1" applyBorder="1" applyFont="1" applyNumberFormat="1">
      <alignment horizontal="center" readingOrder="0" vertical="center"/>
    </xf>
    <xf borderId="38" fillId="8" fontId="2" numFmtId="0" xfId="0" applyAlignment="1" applyBorder="1" applyFont="1">
      <alignment horizontal="center" readingOrder="0" vertical="center"/>
    </xf>
    <xf borderId="38" fillId="8" fontId="2" numFmtId="164" xfId="0" applyAlignment="1" applyBorder="1" applyFont="1" applyNumberFormat="1">
      <alignment horizontal="center" readingOrder="0" vertical="center"/>
    </xf>
    <xf borderId="38" fillId="9" fontId="2" numFmtId="164" xfId="0" applyAlignment="1" applyBorder="1" applyFont="1" applyNumberFormat="1">
      <alignment horizontal="center" vertical="center"/>
    </xf>
    <xf borderId="38" fillId="8" fontId="2" numFmtId="165" xfId="0" applyAlignment="1" applyBorder="1" applyFont="1" applyNumberFormat="1">
      <alignment horizontal="center" vertical="center"/>
    </xf>
    <xf borderId="38" fillId="8" fontId="2" numFmtId="164" xfId="0" applyAlignment="1" applyBorder="1" applyFont="1" applyNumberFormat="1">
      <alignment horizontal="center" vertical="center"/>
    </xf>
    <xf borderId="38" fillId="8" fontId="2" numFmtId="3" xfId="0" applyAlignment="1" applyBorder="1" applyFont="1" applyNumberFormat="1">
      <alignment horizontal="center" vertical="center"/>
    </xf>
    <xf borderId="38" fillId="9" fontId="11" numFmtId="164" xfId="0" applyAlignment="1" applyBorder="1" applyFont="1" applyNumberFormat="1">
      <alignment vertical="center"/>
    </xf>
    <xf borderId="38" fillId="8" fontId="11" numFmtId="164" xfId="0" applyAlignment="1" applyBorder="1" applyFont="1" applyNumberFormat="1">
      <alignment vertical="center"/>
    </xf>
    <xf borderId="38" fillId="9" fontId="2" numFmtId="3" xfId="0" applyAlignment="1" applyBorder="1" applyFont="1" applyNumberFormat="1">
      <alignment horizontal="center" vertical="center"/>
    </xf>
    <xf borderId="38" fillId="8" fontId="2" numFmtId="0" xfId="0" applyAlignment="1" applyBorder="1" applyFont="1">
      <alignment horizontal="center" vertical="center"/>
    </xf>
    <xf borderId="49" fillId="2" fontId="2" numFmtId="0" xfId="0" applyBorder="1" applyFont="1"/>
    <xf borderId="38" fillId="8" fontId="2" numFmtId="3" xfId="0" applyAlignment="1" applyBorder="1" applyFont="1" applyNumberFormat="1">
      <alignment horizontal="center" readingOrder="0" vertical="center"/>
    </xf>
    <xf borderId="11" fillId="2" fontId="2" numFmtId="0" xfId="0" applyBorder="1" applyFont="1"/>
    <xf borderId="38" fillId="8" fontId="11" numFmtId="164" xfId="0" applyAlignment="1" applyBorder="1" applyFont="1" applyNumberFormat="1">
      <alignment readingOrder="0" vertical="center"/>
    </xf>
    <xf borderId="38" fillId="9" fontId="12" numFmtId="168" xfId="0" applyAlignment="1" applyBorder="1" applyFont="1" applyNumberFormat="1">
      <alignment horizontal="center" vertical="center"/>
    </xf>
    <xf borderId="42" fillId="9" fontId="2" numFmtId="164" xfId="0" applyAlignment="1" applyBorder="1" applyFont="1" applyNumberFormat="1">
      <alignment horizontal="center" vertical="center"/>
    </xf>
    <xf borderId="43" fillId="9" fontId="12" numFmtId="168" xfId="0" applyAlignment="1" applyBorder="1" applyFont="1" applyNumberFormat="1">
      <alignment horizontal="center" vertical="center"/>
    </xf>
    <xf borderId="38" fillId="8" fontId="2" numFmtId="14" xfId="0" applyAlignment="1" applyBorder="1" applyFont="1" applyNumberFormat="1">
      <alignment horizontal="center" vertical="center"/>
    </xf>
    <xf borderId="38" fillId="8" fontId="1" numFmtId="0" xfId="0" applyBorder="1" applyFont="1"/>
    <xf borderId="38" fillId="8" fontId="1" numFmtId="164" xfId="0" applyBorder="1" applyFont="1" applyNumberFormat="1"/>
    <xf borderId="43" fillId="9" fontId="2" numFmtId="164" xfId="0" applyAlignment="1" applyBorder="1" applyFont="1" applyNumberFormat="1">
      <alignment horizontal="center" vertical="center"/>
    </xf>
    <xf borderId="27" fillId="2" fontId="2" numFmtId="0" xfId="0" applyBorder="1" applyFont="1"/>
    <xf borderId="46" fillId="2" fontId="2" numFmtId="165" xfId="0" applyAlignment="1" applyBorder="1" applyFont="1" applyNumberFormat="1">
      <alignment horizontal="center" vertical="center"/>
    </xf>
    <xf borderId="46" fillId="2" fontId="2" numFmtId="166" xfId="0" applyAlignment="1" applyBorder="1" applyFont="1" applyNumberFormat="1">
      <alignment horizontal="center" vertical="center"/>
    </xf>
    <xf borderId="46" fillId="2" fontId="2" numFmtId="0" xfId="0" applyAlignment="1" applyBorder="1" applyFont="1">
      <alignment horizontal="center" vertical="center"/>
    </xf>
    <xf borderId="3" fillId="2" fontId="16" numFmtId="0" xfId="0" applyAlignment="1" applyBorder="1" applyFont="1">
      <alignment readingOrder="0"/>
    </xf>
    <xf borderId="3" fillId="2" fontId="17" numFmtId="0" xfId="0" applyAlignment="1" applyBorder="1" applyFont="1">
      <alignment readingOrder="0"/>
    </xf>
    <xf borderId="8" fillId="3" fontId="18" numFmtId="0" xfId="0" applyAlignment="1" applyBorder="1" applyFont="1">
      <alignment horizontal="left" readingOrder="0" vertical="center"/>
    </xf>
    <xf borderId="30" fillId="2" fontId="19" numFmtId="0" xfId="0" applyAlignment="1" applyBorder="1" applyFont="1">
      <alignment readingOrder="0" vertical="center"/>
    </xf>
    <xf borderId="0" fillId="2" fontId="19" numFmtId="9" xfId="0" applyAlignment="1" applyFont="1" applyNumberFormat="1">
      <alignment readingOrder="0" vertical="center"/>
    </xf>
    <xf borderId="50" fillId="2" fontId="19" numFmtId="9" xfId="0" applyAlignment="1" applyBorder="1" applyFont="1" applyNumberFormat="1">
      <alignment readingOrder="0" vertical="center"/>
    </xf>
    <xf borderId="49" fillId="2" fontId="2" numFmtId="165" xfId="0" applyAlignment="1" applyBorder="1" applyFont="1" applyNumberFormat="1">
      <alignment vertical="center"/>
    </xf>
    <xf borderId="11" fillId="2" fontId="20" numFmtId="0" xfId="0" applyAlignment="1" applyBorder="1" applyFont="1">
      <alignment readingOrder="0" shrinkToFit="0" vertical="center" wrapText="1"/>
    </xf>
    <xf borderId="38" fillId="10" fontId="21" numFmtId="170" xfId="0" applyAlignment="1" applyBorder="1" applyFill="1" applyFont="1" applyNumberFormat="1">
      <alignment vertical="center"/>
    </xf>
    <xf borderId="11" fillId="2" fontId="19" numFmtId="0" xfId="0" applyAlignment="1" applyBorder="1" applyFont="1">
      <alignment readingOrder="0" shrinkToFit="0" vertical="center" wrapText="1"/>
    </xf>
    <xf borderId="26" fillId="2" fontId="22" numFmtId="170" xfId="0" applyAlignment="1" applyBorder="1" applyFont="1" applyNumberFormat="1">
      <alignment vertical="center"/>
    </xf>
    <xf borderId="20" fillId="2" fontId="22" numFmtId="170" xfId="0" applyAlignment="1" applyBorder="1" applyFont="1" applyNumberFormat="1">
      <alignment vertical="center"/>
    </xf>
    <xf borderId="38" fillId="11" fontId="23" numFmtId="170" xfId="0" applyAlignment="1" applyBorder="1" applyFill="1" applyFont="1" applyNumberFormat="1">
      <alignment vertical="center"/>
    </xf>
    <xf borderId="38" fillId="12" fontId="24" numFmtId="170" xfId="0" applyAlignment="1" applyBorder="1" applyFill="1" applyFont="1" applyNumberFormat="1">
      <alignment vertical="center"/>
    </xf>
    <xf borderId="26" fillId="2" fontId="2" numFmtId="165" xfId="0" applyAlignment="1" applyBorder="1" applyFont="1" applyNumberFormat="1">
      <alignment vertical="center"/>
    </xf>
    <xf borderId="0" fillId="5" fontId="25" numFmtId="0" xfId="0" applyAlignment="1" applyFont="1">
      <alignment horizontal="center" readingOrder="0" vertical="center"/>
    </xf>
    <xf borderId="51" fillId="13" fontId="26" numFmtId="0" xfId="0" applyAlignment="1" applyBorder="1" applyFill="1" applyFont="1">
      <alignment horizontal="center" shrinkToFit="0" vertical="center" wrapText="1"/>
    </xf>
    <xf borderId="51" fillId="13" fontId="26" numFmtId="166" xfId="0" applyAlignment="1" applyBorder="1" applyFont="1" applyNumberFormat="1">
      <alignment horizontal="center" readingOrder="0" shrinkToFit="0" vertical="center" wrapText="1"/>
    </xf>
    <xf borderId="51" fillId="13" fontId="26" numFmtId="166" xfId="0" applyAlignment="1" applyBorder="1" applyFont="1" applyNumberFormat="1">
      <alignment horizontal="center" shrinkToFit="0" vertical="center" wrapText="1"/>
    </xf>
    <xf borderId="51" fillId="13" fontId="27" numFmtId="165" xfId="0" applyAlignment="1" applyBorder="1" applyFont="1" applyNumberFormat="1">
      <alignment horizontal="center" shrinkToFit="0" vertical="center" wrapText="1"/>
    </xf>
    <xf borderId="51" fillId="13" fontId="26" numFmtId="0" xfId="0" applyAlignment="1" applyBorder="1" applyFont="1">
      <alignment horizontal="center" readingOrder="0" shrinkToFit="0" vertical="center" wrapText="1"/>
    </xf>
    <xf borderId="51" fillId="0" fontId="28" numFmtId="165" xfId="0" applyAlignment="1" applyBorder="1" applyFont="1" applyNumberFormat="1">
      <alignment horizontal="center" readingOrder="0" vertical="center"/>
    </xf>
    <xf borderId="51" fillId="0" fontId="29" numFmtId="166" xfId="0" applyAlignment="1" applyBorder="1" applyFont="1" applyNumberFormat="1">
      <alignment horizontal="center" readingOrder="0" vertical="center"/>
    </xf>
    <xf borderId="51" fillId="0" fontId="28" numFmtId="166" xfId="0" applyAlignment="1" applyBorder="1" applyFont="1" applyNumberFormat="1">
      <alignment horizontal="center" readingOrder="0" vertical="center"/>
    </xf>
    <xf borderId="51" fillId="0" fontId="28" numFmtId="166" xfId="0" applyAlignment="1" applyBorder="1" applyFont="1" applyNumberFormat="1">
      <alignment horizontal="center" vertical="center"/>
    </xf>
    <xf borderId="51" fillId="6" fontId="28" numFmtId="164" xfId="0" applyAlignment="1" applyBorder="1" applyFont="1" applyNumberFormat="1">
      <alignment horizontal="center" readingOrder="0" vertical="center"/>
    </xf>
    <xf borderId="51" fillId="0" fontId="28" numFmtId="164" xfId="0" applyAlignment="1" applyBorder="1" applyFont="1" applyNumberFormat="1">
      <alignment horizontal="center" readingOrder="0" vertical="center"/>
    </xf>
    <xf borderId="51" fillId="0" fontId="28" numFmtId="10" xfId="0" applyAlignment="1" applyBorder="1" applyFont="1" applyNumberFormat="1">
      <alignment horizontal="center" readingOrder="0" vertical="center"/>
    </xf>
    <xf borderId="51" fillId="0" fontId="28" numFmtId="3" xfId="0" applyAlignment="1" applyBorder="1" applyFont="1" applyNumberFormat="1">
      <alignment horizontal="center" readingOrder="0" vertical="center"/>
    </xf>
    <xf borderId="51" fillId="0" fontId="29" numFmtId="0" xfId="0" applyAlignment="1" applyBorder="1" applyFont="1">
      <alignment horizontal="center" readingOrder="0" vertical="center"/>
    </xf>
    <xf borderId="51" fillId="0" fontId="30" numFmtId="164" xfId="0" applyAlignment="1" applyBorder="1" applyFont="1" applyNumberFormat="1">
      <alignment readingOrder="0" vertical="center"/>
    </xf>
    <xf borderId="51" fillId="6" fontId="31" numFmtId="171" xfId="0" applyAlignment="1" applyBorder="1" applyFont="1" applyNumberFormat="1">
      <alignment vertical="center"/>
    </xf>
    <xf borderId="51" fillId="6" fontId="32" numFmtId="172" xfId="0" applyAlignment="1" applyBorder="1" applyFont="1" applyNumberFormat="1">
      <alignment vertical="center"/>
    </xf>
    <xf borderId="51" fillId="6" fontId="30" numFmtId="164" xfId="0" applyAlignment="1" applyBorder="1" applyFont="1" applyNumberFormat="1">
      <alignment vertical="center"/>
    </xf>
    <xf borderId="51" fillId="6" fontId="33" numFmtId="172" xfId="0" applyAlignment="1" applyBorder="1" applyFont="1" applyNumberFormat="1">
      <alignment vertical="center"/>
    </xf>
    <xf borderId="51" fillId="6" fontId="28" numFmtId="10" xfId="0" applyAlignment="1" applyBorder="1" applyFont="1" applyNumberFormat="1">
      <alignment horizontal="center" vertical="center"/>
    </xf>
    <xf borderId="51" fillId="6" fontId="28" numFmtId="166" xfId="0" applyAlignment="1" applyBorder="1" applyFont="1" applyNumberFormat="1">
      <alignment horizontal="center" vertical="center"/>
    </xf>
    <xf borderId="51" fillId="6" fontId="28" numFmtId="3" xfId="0" applyAlignment="1" applyBorder="1" applyFont="1" applyNumberFormat="1">
      <alignment horizontal="center" vertical="center"/>
    </xf>
    <xf borderId="51" fillId="14" fontId="28" numFmtId="165" xfId="0" applyAlignment="1" applyBorder="1" applyFill="1" applyFont="1" applyNumberFormat="1">
      <alignment horizontal="center" readingOrder="0" vertical="center"/>
    </xf>
    <xf borderId="51" fillId="14" fontId="28" numFmtId="166" xfId="0" applyAlignment="1" applyBorder="1" applyFont="1" applyNumberFormat="1">
      <alignment horizontal="center" readingOrder="0" vertical="center"/>
    </xf>
    <xf borderId="51" fillId="14" fontId="28" numFmtId="4" xfId="0" applyAlignment="1" applyBorder="1" applyFont="1" applyNumberFormat="1">
      <alignment horizontal="center" readingOrder="0" vertical="center"/>
    </xf>
    <xf borderId="51" fillId="14" fontId="34" numFmtId="164" xfId="0" applyAlignment="1" applyBorder="1" applyFont="1" applyNumberFormat="1">
      <alignment horizontal="center" readingOrder="0" vertical="center"/>
    </xf>
    <xf borderId="51" fillId="14" fontId="28" numFmtId="172" xfId="0" applyAlignment="1" applyBorder="1" applyFont="1" applyNumberFormat="1">
      <alignment horizontal="center" readingOrder="0" vertical="center"/>
    </xf>
    <xf borderId="51" fillId="14" fontId="33" numFmtId="172" xfId="0" applyAlignment="1" applyBorder="1" applyFont="1" applyNumberFormat="1">
      <alignment horizontal="center" readingOrder="0" vertical="center"/>
    </xf>
    <xf borderId="51" fillId="14" fontId="29" numFmtId="165" xfId="0" applyAlignment="1" applyBorder="1" applyFont="1" applyNumberFormat="1">
      <alignment horizontal="center" readingOrder="0" vertical="center"/>
    </xf>
    <xf borderId="51" fillId="14" fontId="28" numFmtId="164" xfId="0" applyAlignment="1" applyBorder="1" applyFont="1" applyNumberFormat="1">
      <alignment horizontal="center" readingOrder="0" vertical="center"/>
    </xf>
    <xf borderId="51" fillId="0" fontId="29" numFmtId="10" xfId="0" applyAlignment="1" applyBorder="1" applyFont="1" applyNumberFormat="1">
      <alignment horizontal="center" readingOrder="0" vertical="center"/>
    </xf>
    <xf borderId="51" fillId="0" fontId="29" numFmtId="164" xfId="0" applyAlignment="1" applyBorder="1" applyFont="1" applyNumberFormat="1">
      <alignment horizontal="center" readingOrder="0" vertical="center"/>
    </xf>
    <xf borderId="51" fillId="0" fontId="28" numFmtId="4" xfId="0" applyAlignment="1" applyBorder="1" applyFont="1" applyNumberFormat="1">
      <alignment horizontal="center" readingOrder="0" vertical="center"/>
    </xf>
    <xf borderId="51" fillId="0" fontId="35" numFmtId="164" xfId="0" applyAlignment="1" applyBorder="1" applyFont="1" applyNumberFormat="1">
      <alignment horizontal="center" readingOrder="0" vertical="center"/>
    </xf>
    <xf borderId="51" fillId="0" fontId="28" numFmtId="172" xfId="0" applyAlignment="1" applyBorder="1" applyFont="1" applyNumberFormat="1">
      <alignment horizontal="center" readingOrder="0" vertical="center"/>
    </xf>
    <xf borderId="51" fillId="0" fontId="33" numFmtId="172" xfId="0" applyAlignment="1" applyBorder="1" applyFont="1" applyNumberFormat="1">
      <alignment horizontal="center" readingOrder="0" vertical="center"/>
    </xf>
    <xf borderId="51" fillId="0" fontId="29" numFmtId="165" xfId="0" applyAlignment="1" applyBorder="1" applyFont="1" applyNumberFormat="1">
      <alignment horizontal="center" readingOrder="0" vertical="center"/>
    </xf>
    <xf borderId="51" fillId="14" fontId="29" numFmtId="166" xfId="0" applyAlignment="1" applyBorder="1" applyFont="1" applyNumberFormat="1">
      <alignment horizontal="center" readingOrder="0" vertical="center"/>
    </xf>
    <xf borderId="51" fillId="14" fontId="35" numFmtId="164" xfId="0" applyAlignment="1" applyBorder="1" applyFont="1" applyNumberFormat="1">
      <alignment horizontal="center" readingOrder="0" vertical="center"/>
    </xf>
    <xf borderId="51" fillId="14" fontId="29" numFmtId="164" xfId="0" applyAlignment="1" applyBorder="1" applyFont="1" applyNumberFormat="1">
      <alignment horizontal="center" readingOrder="0" vertical="center"/>
    </xf>
    <xf borderId="51" fillId="14" fontId="29" numFmtId="0" xfId="0" applyAlignment="1" applyBorder="1" applyFont="1">
      <alignment horizontal="center" readingOrder="0" vertical="center"/>
    </xf>
    <xf borderId="51" fillId="14" fontId="29" numFmtId="172" xfId="0" applyAlignment="1" applyBorder="1" applyFont="1" applyNumberFormat="1">
      <alignment horizontal="center" readingOrder="0" vertical="center"/>
    </xf>
    <xf borderId="51" fillId="0" fontId="29" numFmtId="3" xfId="0" applyAlignment="1" applyBorder="1" applyFont="1" applyNumberFormat="1">
      <alignment horizontal="center" readingOrder="0" vertical="center"/>
    </xf>
    <xf borderId="51" fillId="0" fontId="29" numFmtId="172" xfId="0" applyAlignment="1" applyBorder="1" applyFont="1" applyNumberFormat="1">
      <alignment horizontal="center" readingOrder="0" vertical="center"/>
    </xf>
    <xf borderId="51" fillId="6" fontId="29" numFmtId="164" xfId="0" applyAlignment="1" applyBorder="1" applyFont="1" applyNumberFormat="1">
      <alignment horizontal="center" readingOrder="0" vertical="center"/>
    </xf>
    <xf borderId="51" fillId="0" fontId="29" numFmtId="173" xfId="0" applyAlignment="1" applyBorder="1" applyFont="1" applyNumberFormat="1">
      <alignment horizontal="center" readingOrder="0" vertical="center"/>
    </xf>
    <xf borderId="51" fillId="0" fontId="29" numFmtId="174" xfId="0" applyAlignment="1" applyBorder="1" applyFont="1" applyNumberFormat="1">
      <alignment horizontal="center" readingOrder="0" vertical="center"/>
    </xf>
    <xf borderId="51" fillId="0" fontId="29" numFmtId="175" xfId="0" applyAlignment="1" applyBorder="1" applyFont="1" applyNumberFormat="1">
      <alignment horizontal="center" readingOrder="0" vertical="center"/>
    </xf>
    <xf borderId="52" fillId="2" fontId="2" numFmtId="0" xfId="0" applyAlignment="1" applyBorder="1" applyFont="1">
      <alignment horizontal="center"/>
    </xf>
    <xf borderId="53" fillId="0" fontId="29" numFmtId="175" xfId="0" applyAlignment="1" applyBorder="1" applyFont="1" applyNumberFormat="1">
      <alignment horizontal="center" readingOrder="0" vertical="center"/>
    </xf>
    <xf borderId="53" fillId="0" fontId="29" numFmtId="166" xfId="0" applyAlignment="1" applyBorder="1" applyFont="1" applyNumberFormat="1">
      <alignment horizontal="center" readingOrder="0" vertical="center"/>
    </xf>
    <xf borderId="53" fillId="0" fontId="29" numFmtId="174" xfId="0" applyAlignment="1" applyBorder="1" applyFont="1" applyNumberFormat="1">
      <alignment horizontal="center" readingOrder="0" vertical="center"/>
    </xf>
    <xf borderId="53" fillId="0" fontId="29" numFmtId="164" xfId="0" applyAlignment="1" applyBorder="1" applyFont="1" applyNumberFormat="1">
      <alignment horizontal="center" readingOrder="0" vertical="center"/>
    </xf>
    <xf borderId="53" fillId="0" fontId="28" numFmtId="10" xfId="0" applyAlignment="1" applyBorder="1" applyFont="1" applyNumberFormat="1">
      <alignment horizontal="center" readingOrder="0" vertical="center"/>
    </xf>
    <xf borderId="7" fillId="2" fontId="2" numFmtId="0" xfId="0" applyBorder="1" applyFont="1"/>
    <xf borderId="53" fillId="0" fontId="28" numFmtId="165" xfId="0" applyAlignment="1" applyBorder="1" applyFont="1" applyNumberFormat="1">
      <alignment horizontal="center" readingOrder="0" vertical="center"/>
    </xf>
    <xf borderId="53" fillId="0" fontId="28" numFmtId="166" xfId="0" applyAlignment="1" applyBorder="1" applyFont="1" applyNumberFormat="1">
      <alignment horizontal="center" readingOrder="0" vertical="center"/>
    </xf>
    <xf borderId="53" fillId="0" fontId="28" numFmtId="164" xfId="0" applyAlignment="1" applyBorder="1" applyFont="1" applyNumberFormat="1">
      <alignment horizontal="center" readingOrder="0" vertical="center"/>
    </xf>
    <xf borderId="13" fillId="2" fontId="2" numFmtId="0" xfId="0" applyBorder="1" applyFont="1"/>
    <xf borderId="52" fillId="2" fontId="36" numFmtId="0" xfId="0" applyAlignment="1" applyBorder="1" applyFont="1">
      <alignment horizontal="center"/>
    </xf>
    <xf borderId="7" fillId="2" fontId="36" numFmtId="0" xfId="0" applyBorder="1" applyFont="1"/>
    <xf borderId="53" fillId="0" fontId="34" numFmtId="165" xfId="0" applyAlignment="1" applyBorder="1" applyFont="1" applyNumberFormat="1">
      <alignment horizontal="center" readingOrder="0" vertical="center"/>
    </xf>
    <xf borderId="53" fillId="0" fontId="34" numFmtId="166" xfId="0" applyAlignment="1" applyBorder="1" applyFont="1" applyNumberFormat="1">
      <alignment horizontal="center" readingOrder="0" vertical="center"/>
    </xf>
    <xf borderId="53" fillId="0" fontId="34" numFmtId="164" xfId="0" applyAlignment="1" applyBorder="1" applyFont="1" applyNumberFormat="1">
      <alignment horizontal="center" readingOrder="0" vertical="center"/>
    </xf>
    <xf borderId="13" fillId="2" fontId="36" numFmtId="0" xfId="0" applyBorder="1" applyFont="1"/>
    <xf borderId="0" fillId="0" fontId="37" numFmtId="0" xfId="0" applyFont="1"/>
    <xf borderId="54" fillId="2" fontId="38" numFmtId="0" xfId="0" applyAlignment="1" applyBorder="1" applyFont="1">
      <alignment vertical="bottom"/>
    </xf>
    <xf borderId="0" fillId="0" fontId="28" numFmtId="175" xfId="0" applyAlignment="1" applyFont="1" applyNumberFormat="1">
      <alignment horizontal="center" readingOrder="0"/>
    </xf>
    <xf borderId="0" fillId="0" fontId="28" numFmtId="166" xfId="0" applyAlignment="1" applyFont="1" applyNumberFormat="1">
      <alignment horizontal="center"/>
    </xf>
    <xf borderId="0" fillId="0" fontId="28" numFmtId="174" xfId="0" applyAlignment="1" applyFont="1" applyNumberFormat="1">
      <alignment horizontal="center" readingOrder="0"/>
    </xf>
    <xf borderId="0" fillId="6" fontId="28" numFmtId="164" xfId="0" applyAlignment="1" applyFont="1" applyNumberFormat="1">
      <alignment horizontal="center"/>
    </xf>
    <xf borderId="0" fillId="0" fontId="28" numFmtId="164" xfId="0" applyAlignment="1" applyFont="1" applyNumberFormat="1">
      <alignment horizontal="center" readingOrder="0"/>
    </xf>
    <xf borderId="0" fillId="0" fontId="38" numFmtId="10" xfId="0" applyFont="1" applyNumberFormat="1"/>
    <xf borderId="0" fillId="15" fontId="28" numFmtId="10" xfId="0" applyAlignment="1" applyFill="1" applyFont="1" applyNumberFormat="1">
      <alignment horizontal="center"/>
    </xf>
    <xf borderId="0" fillId="0" fontId="28" numFmtId="3" xfId="0" applyAlignment="1" applyFont="1" applyNumberFormat="1">
      <alignment horizontal="center"/>
    </xf>
    <xf borderId="0" fillId="0" fontId="28" numFmtId="164" xfId="0" applyAlignment="1" applyFont="1" applyNumberFormat="1">
      <alignment horizontal="center"/>
    </xf>
    <xf borderId="0" fillId="15" fontId="28" numFmtId="0" xfId="0" applyAlignment="1" applyFont="1">
      <alignment horizontal="center" readingOrder="0"/>
    </xf>
    <xf borderId="0" fillId="0" fontId="38" numFmtId="165" xfId="0" applyFont="1" applyNumberFormat="1"/>
    <xf borderId="0" fillId="0" fontId="38" numFmtId="164" xfId="0" applyFont="1" applyNumberFormat="1"/>
    <xf borderId="0" fillId="6" fontId="31" numFmtId="171" xfId="0" applyAlignment="1" applyFont="1" applyNumberFormat="1">
      <alignment horizontal="right"/>
    </xf>
    <xf borderId="0" fillId="6" fontId="32" numFmtId="172" xfId="0" applyAlignment="1" applyFont="1" applyNumberFormat="1">
      <alignment horizontal="right"/>
    </xf>
    <xf borderId="0" fillId="6" fontId="30" numFmtId="164" xfId="0" applyAlignment="1" applyFont="1" applyNumberFormat="1">
      <alignment horizontal="right"/>
    </xf>
    <xf borderId="0" fillId="6" fontId="33" numFmtId="172" xfId="0" applyAlignment="1" applyFont="1" applyNumberFormat="1">
      <alignment horizontal="right"/>
    </xf>
    <xf borderId="0" fillId="6" fontId="28" numFmtId="10" xfId="0" applyAlignment="1" applyFont="1" applyNumberFormat="1">
      <alignment horizontal="center"/>
    </xf>
    <xf borderId="0" fillId="6" fontId="28" numFmtId="166" xfId="0" applyAlignment="1" applyFont="1" applyNumberFormat="1">
      <alignment horizontal="center"/>
    </xf>
    <xf borderId="0" fillId="6" fontId="28" numFmtId="3" xfId="0" applyAlignment="1" applyFont="1" applyNumberFormat="1">
      <alignment horizontal="center"/>
    </xf>
    <xf borderId="0" fillId="2" fontId="38" numFmtId="0" xfId="0" applyAlignment="1" applyFont="1">
      <alignment vertical="bottom"/>
    </xf>
    <xf borderId="0" fillId="0" fontId="38" numFmtId="166" xfId="0" applyFont="1" applyNumberFormat="1"/>
    <xf borderId="55" fillId="2" fontId="38" numFmtId="0" xfId="0" applyAlignment="1" applyBorder="1" applyFont="1">
      <alignment vertical="bottom"/>
    </xf>
    <xf borderId="0" fillId="0" fontId="38" numFmtId="0" xfId="0" applyAlignment="1" applyFont="1">
      <alignment vertical="bottom"/>
    </xf>
    <xf borderId="53" fillId="0" fontId="29" numFmtId="173" xfId="0" applyAlignment="1" applyBorder="1" applyFont="1" applyNumberFormat="1">
      <alignment horizontal="center" readingOrder="0" vertical="center"/>
    </xf>
    <xf borderId="0" fillId="0" fontId="28" numFmtId="10" xfId="0" applyAlignment="1" applyFont="1" applyNumberFormat="1">
      <alignment horizontal="center"/>
    </xf>
    <xf borderId="0" fillId="16" fontId="34" numFmtId="0" xfId="0" applyAlignment="1" applyFill="1" applyFont="1">
      <alignment horizontal="center" readingOrder="0"/>
    </xf>
    <xf borderId="53" fillId="0" fontId="28" numFmtId="175" xfId="0" applyAlignment="1" applyBorder="1" applyFont="1" applyNumberFormat="1">
      <alignment horizontal="center" readingOrder="0"/>
    </xf>
    <xf borderId="51" fillId="0" fontId="28" numFmtId="166" xfId="0" applyAlignment="1" applyBorder="1" applyFont="1" applyNumberFormat="1">
      <alignment horizontal="center"/>
    </xf>
    <xf borderId="53" fillId="0" fontId="28" numFmtId="166" xfId="0" applyAlignment="1" applyBorder="1" applyFont="1" applyNumberFormat="1">
      <alignment horizontal="center"/>
    </xf>
    <xf borderId="53" fillId="0" fontId="28" numFmtId="174" xfId="0" applyAlignment="1" applyBorder="1" applyFont="1" applyNumberFormat="1">
      <alignment horizontal="center" readingOrder="0"/>
    </xf>
    <xf borderId="51" fillId="6" fontId="28" numFmtId="164" xfId="0" applyAlignment="1" applyBorder="1" applyFont="1" applyNumberFormat="1">
      <alignment horizontal="center"/>
    </xf>
    <xf borderId="53" fillId="0" fontId="28" numFmtId="164" xfId="0" applyAlignment="1" applyBorder="1" applyFont="1" applyNumberFormat="1">
      <alignment horizontal="center" readingOrder="0"/>
    </xf>
    <xf borderId="53" fillId="0" fontId="38" numFmtId="10" xfId="0" applyBorder="1" applyFont="1" applyNumberFormat="1"/>
    <xf borderId="51" fillId="15" fontId="28" numFmtId="10" xfId="0" applyAlignment="1" applyBorder="1" applyFont="1" applyNumberFormat="1">
      <alignment horizontal="center"/>
    </xf>
    <xf borderId="51" fillId="0" fontId="28" numFmtId="3" xfId="0" applyAlignment="1" applyBorder="1" applyFont="1" applyNumberFormat="1">
      <alignment horizontal="center"/>
    </xf>
    <xf borderId="51" fillId="0" fontId="28" numFmtId="164" xfId="0" applyAlignment="1" applyBorder="1" applyFont="1" applyNumberFormat="1">
      <alignment horizontal="center"/>
    </xf>
    <xf borderId="51" fillId="15" fontId="28" numFmtId="0" xfId="0" applyAlignment="1" applyBorder="1" applyFont="1">
      <alignment horizontal="center" readingOrder="0"/>
    </xf>
    <xf borderId="51" fillId="0" fontId="38" numFmtId="165" xfId="0" applyBorder="1" applyFont="1" applyNumberFormat="1"/>
    <xf borderId="51" fillId="0" fontId="38" numFmtId="164" xfId="0" applyBorder="1" applyFont="1" applyNumberFormat="1"/>
    <xf borderId="51" fillId="6" fontId="31" numFmtId="171" xfId="0" applyAlignment="1" applyBorder="1" applyFont="1" applyNumberFormat="1">
      <alignment horizontal="right"/>
    </xf>
    <xf borderId="51" fillId="6" fontId="32" numFmtId="172" xfId="0" applyAlignment="1" applyBorder="1" applyFont="1" applyNumberFormat="1">
      <alignment horizontal="right"/>
    </xf>
    <xf borderId="51" fillId="6" fontId="30" numFmtId="164" xfId="0" applyAlignment="1" applyBorder="1" applyFont="1" applyNumberFormat="1">
      <alignment horizontal="right"/>
    </xf>
    <xf borderId="51" fillId="6" fontId="33" numFmtId="172" xfId="0" applyAlignment="1" applyBorder="1" applyFont="1" applyNumberFormat="1">
      <alignment horizontal="right"/>
    </xf>
    <xf borderId="51" fillId="6" fontId="28" numFmtId="10" xfId="0" applyAlignment="1" applyBorder="1" applyFont="1" applyNumberFormat="1">
      <alignment horizontal="center"/>
    </xf>
    <xf borderId="51" fillId="6" fontId="28" numFmtId="166" xfId="0" applyAlignment="1" applyBorder="1" applyFont="1" applyNumberFormat="1">
      <alignment horizontal="center"/>
    </xf>
    <xf borderId="51" fillId="6" fontId="28" numFmtId="3" xfId="0" applyAlignment="1" applyBorder="1" applyFont="1" applyNumberFormat="1">
      <alignment horizontal="center"/>
    </xf>
    <xf borderId="53" fillId="0" fontId="38" numFmtId="164" xfId="0" applyBorder="1" applyFont="1" applyNumberFormat="1"/>
    <xf borderId="53" fillId="0" fontId="28" numFmtId="175" xfId="0" applyAlignment="1" applyBorder="1" applyFont="1" applyNumberFormat="1">
      <alignment horizontal="center" readingOrder="0" vertical="bottom"/>
    </xf>
    <xf borderId="53" fillId="0" fontId="28" numFmtId="174" xfId="0" applyAlignment="1" applyBorder="1" applyFont="1" applyNumberFormat="1">
      <alignment horizontal="center"/>
    </xf>
    <xf borderId="51" fillId="16" fontId="28" numFmtId="10" xfId="0" applyAlignment="1" applyBorder="1" applyFont="1" applyNumberFormat="1">
      <alignment horizontal="center"/>
    </xf>
    <xf borderId="51" fillId="0" fontId="28" numFmtId="164" xfId="0" applyAlignment="1" applyBorder="1" applyFont="1" applyNumberFormat="1">
      <alignment horizontal="center" readingOrder="0"/>
    </xf>
    <xf borderId="51" fillId="17" fontId="28" numFmtId="3" xfId="0" applyAlignment="1" applyBorder="1" applyFill="1" applyFont="1" applyNumberFormat="1">
      <alignment horizontal="center"/>
    </xf>
    <xf borderId="53" fillId="0" fontId="28" numFmtId="166" xfId="0" applyAlignment="1" applyBorder="1" applyFont="1" applyNumberFormat="1">
      <alignment horizontal="center" readingOrder="0"/>
    </xf>
    <xf borderId="51" fillId="0" fontId="28" numFmtId="3" xfId="0" applyAlignment="1" applyBorder="1" applyFont="1" applyNumberFormat="1">
      <alignment horizontal="center" readingOrder="0"/>
    </xf>
    <xf borderId="52" fillId="2" fontId="38" numFmtId="0" xfId="0" applyAlignment="1" applyBorder="1" applyFont="1">
      <alignment vertical="bottom"/>
    </xf>
    <xf borderId="51" fillId="0" fontId="28" numFmtId="10" xfId="0" applyAlignment="1" applyBorder="1" applyFont="1" applyNumberFormat="1">
      <alignment horizontal="center"/>
    </xf>
    <xf borderId="51" fillId="16" fontId="28" numFmtId="0" xfId="0" applyAlignment="1" applyBorder="1" applyFont="1">
      <alignment horizontal="center" readingOrder="0"/>
    </xf>
    <xf borderId="51" fillId="6" fontId="38" numFmtId="3" xfId="0" applyBorder="1" applyFont="1" applyNumberFormat="1"/>
    <xf borderId="13" fillId="2" fontId="38" numFmtId="0" xfId="0" applyAlignment="1" applyBorder="1" applyFont="1">
      <alignment vertical="bottom"/>
    </xf>
    <xf borderId="51" fillId="0" fontId="28" numFmtId="166" xfId="0" applyAlignment="1" applyBorder="1" applyFont="1" applyNumberFormat="1">
      <alignment horizontal="center" readingOrder="0"/>
    </xf>
    <xf borderId="51" fillId="0" fontId="28" numFmtId="166" xfId="0" applyAlignment="1" applyBorder="1" applyFont="1" applyNumberFormat="1">
      <alignment horizontal="center" vertical="bottom"/>
    </xf>
    <xf borderId="53" fillId="0" fontId="28" numFmtId="166" xfId="0" applyAlignment="1" applyBorder="1" applyFont="1" applyNumberFormat="1">
      <alignment horizontal="center" readingOrder="0" vertical="bottom"/>
    </xf>
    <xf borderId="53" fillId="0" fontId="28" numFmtId="174" xfId="0" applyAlignment="1" applyBorder="1" applyFont="1" applyNumberFormat="1">
      <alignment horizontal="center" readingOrder="0" vertical="bottom"/>
    </xf>
    <xf borderId="51" fillId="6" fontId="28" numFmtId="164" xfId="0" applyAlignment="1" applyBorder="1" applyFont="1" applyNumberFormat="1">
      <alignment horizontal="center" vertical="bottom"/>
    </xf>
    <xf borderId="53" fillId="0" fontId="28" numFmtId="164" xfId="0" applyAlignment="1" applyBorder="1" applyFont="1" applyNumberFormat="1">
      <alignment horizontal="center" readingOrder="0" vertical="bottom"/>
    </xf>
    <xf borderId="53" fillId="0" fontId="38" numFmtId="10" xfId="0" applyAlignment="1" applyBorder="1" applyFont="1" applyNumberFormat="1">
      <alignment vertical="bottom"/>
    </xf>
    <xf borderId="51" fillId="0" fontId="28" numFmtId="10" xfId="0" applyAlignment="1" applyBorder="1" applyFont="1" applyNumberFormat="1">
      <alignment horizontal="center" vertical="bottom"/>
    </xf>
    <xf borderId="51" fillId="0" fontId="28" numFmtId="3" xfId="0" applyAlignment="1" applyBorder="1" applyFont="1" applyNumberFormat="1">
      <alignment horizontal="center" readingOrder="0" vertical="bottom"/>
    </xf>
    <xf borderId="51" fillId="0" fontId="28" numFmtId="164" xfId="0" applyAlignment="1" applyBorder="1" applyFont="1" applyNumberFormat="1">
      <alignment horizontal="center" readingOrder="0" vertical="bottom"/>
    </xf>
    <xf borderId="51" fillId="15" fontId="28" numFmtId="0" xfId="0" applyAlignment="1" applyBorder="1" applyFont="1">
      <alignment horizontal="center" vertical="bottom"/>
    </xf>
    <xf borderId="51" fillId="0" fontId="38" numFmtId="165" xfId="0" applyAlignment="1" applyBorder="1" applyFont="1" applyNumberFormat="1">
      <alignment vertical="bottom"/>
    </xf>
    <xf borderId="51" fillId="0" fontId="38" numFmtId="164" xfId="0" applyAlignment="1" applyBorder="1" applyFont="1" applyNumberFormat="1">
      <alignment vertical="bottom"/>
    </xf>
    <xf borderId="51" fillId="6" fontId="31" numFmtId="171" xfId="0" applyAlignment="1" applyBorder="1" applyFont="1" applyNumberFormat="1">
      <alignment horizontal="right" vertical="bottom"/>
    </xf>
    <xf borderId="51" fillId="6" fontId="32" numFmtId="172" xfId="0" applyAlignment="1" applyBorder="1" applyFont="1" applyNumberFormat="1">
      <alignment horizontal="right" vertical="bottom"/>
    </xf>
    <xf borderId="51" fillId="6" fontId="30" numFmtId="164" xfId="0" applyAlignment="1" applyBorder="1" applyFont="1" applyNumberFormat="1">
      <alignment horizontal="right" vertical="bottom"/>
    </xf>
    <xf borderId="51" fillId="6" fontId="33" numFmtId="172" xfId="0" applyAlignment="1" applyBorder="1" applyFont="1" applyNumberFormat="1">
      <alignment horizontal="right" vertical="bottom"/>
    </xf>
    <xf borderId="51" fillId="6" fontId="28" numFmtId="10" xfId="0" applyAlignment="1" applyBorder="1" applyFont="1" applyNumberFormat="1">
      <alignment horizontal="center" vertical="bottom"/>
    </xf>
    <xf borderId="51" fillId="6" fontId="28" numFmtId="166" xfId="0" applyAlignment="1" applyBorder="1" applyFont="1" applyNumberFormat="1">
      <alignment horizontal="center" vertical="bottom"/>
    </xf>
    <xf borderId="51" fillId="6" fontId="28" numFmtId="3" xfId="0" applyAlignment="1" applyBorder="1" applyFont="1" applyNumberFormat="1">
      <alignment horizontal="center" vertical="bottom"/>
    </xf>
    <xf borderId="51" fillId="4" fontId="38" numFmtId="3" xfId="0" applyAlignment="1" applyBorder="1" applyFont="1" applyNumberFormat="1">
      <alignment horizontal="right" vertical="bottom"/>
    </xf>
    <xf borderId="51" fillId="6" fontId="38" numFmtId="3" xfId="0" applyAlignment="1" applyBorder="1" applyFont="1" applyNumberFormat="1">
      <alignment horizontal="right" vertical="bottom"/>
    </xf>
    <xf borderId="53" fillId="0" fontId="38" numFmtId="164" xfId="0" applyAlignment="1" applyBorder="1" applyFont="1" applyNumberFormat="1">
      <alignment vertical="bottom"/>
    </xf>
    <xf borderId="53" fillId="6" fontId="28" numFmtId="164" xfId="0" applyAlignment="1" applyBorder="1" applyFont="1" applyNumberFormat="1">
      <alignment horizontal="center"/>
    </xf>
    <xf borderId="53" fillId="0" fontId="28" numFmtId="10" xfId="0" applyAlignment="1" applyBorder="1" applyFont="1" applyNumberFormat="1">
      <alignment horizontal="center"/>
    </xf>
    <xf borderId="53" fillId="0" fontId="28" numFmtId="3" xfId="0" applyAlignment="1" applyBorder="1" applyFont="1" applyNumberFormat="1">
      <alignment horizontal="center" readingOrder="0"/>
    </xf>
    <xf borderId="53" fillId="16" fontId="28" numFmtId="0" xfId="0" applyAlignment="1" applyBorder="1" applyFont="1">
      <alignment horizontal="center" readingOrder="0"/>
    </xf>
    <xf borderId="53" fillId="0" fontId="38" numFmtId="165" xfId="0" applyBorder="1" applyFont="1" applyNumberFormat="1"/>
    <xf borderId="53" fillId="6" fontId="31" numFmtId="171" xfId="0" applyAlignment="1" applyBorder="1" applyFont="1" applyNumberFormat="1">
      <alignment horizontal="right"/>
    </xf>
    <xf borderId="53" fillId="6" fontId="32" numFmtId="172" xfId="0" applyAlignment="1" applyBorder="1" applyFont="1" applyNumberFormat="1">
      <alignment horizontal="right"/>
    </xf>
    <xf borderId="53" fillId="6" fontId="30" numFmtId="164" xfId="0" applyAlignment="1" applyBorder="1" applyFont="1" applyNumberFormat="1">
      <alignment horizontal="right"/>
    </xf>
    <xf borderId="53" fillId="6" fontId="33" numFmtId="172" xfId="0" applyAlignment="1" applyBorder="1" applyFont="1" applyNumberFormat="1">
      <alignment horizontal="right"/>
    </xf>
    <xf borderId="53" fillId="6" fontId="28" numFmtId="10" xfId="0" applyAlignment="1" applyBorder="1" applyFont="1" applyNumberFormat="1">
      <alignment horizontal="center"/>
    </xf>
    <xf borderId="53" fillId="6" fontId="28" numFmtId="166" xfId="0" applyAlignment="1" applyBorder="1" applyFont="1" applyNumberFormat="1">
      <alignment horizontal="center"/>
    </xf>
    <xf borderId="53" fillId="6" fontId="28" numFmtId="3" xfId="0" applyAlignment="1" applyBorder="1" applyFont="1" applyNumberFormat="1">
      <alignment horizontal="center"/>
    </xf>
    <xf borderId="53" fillId="6" fontId="38" numFmtId="3" xfId="0" applyBorder="1" applyFont="1" applyNumberFormat="1"/>
    <xf borderId="53" fillId="0" fontId="39" numFmtId="0" xfId="0" applyAlignment="1" applyBorder="1" applyFont="1">
      <alignment horizontal="center" readingOrder="0" vertical="center"/>
    </xf>
    <xf borderId="53" fillId="0" fontId="40" numFmtId="166" xfId="0" applyAlignment="1" applyBorder="1" applyFont="1" applyNumberFormat="1">
      <alignment horizontal="center" readingOrder="0" vertical="center"/>
    </xf>
    <xf borderId="53" fillId="0" fontId="40" numFmtId="166" xfId="0" applyAlignment="1" applyBorder="1" applyFont="1" applyNumberFormat="1">
      <alignment horizontal="center" vertical="center"/>
    </xf>
    <xf borderId="53" fillId="0" fontId="40" numFmtId="165" xfId="0" applyAlignment="1" applyBorder="1" applyFont="1" applyNumberFormat="1">
      <alignment horizontal="center" readingOrder="0" vertical="center"/>
    </xf>
    <xf borderId="53" fillId="6" fontId="40" numFmtId="164" xfId="0" applyAlignment="1" applyBorder="1" applyFont="1" applyNumberFormat="1">
      <alignment horizontal="center" readingOrder="0" vertical="center"/>
    </xf>
    <xf borderId="53" fillId="0" fontId="39" numFmtId="164" xfId="0" applyAlignment="1" applyBorder="1" applyFont="1" applyNumberFormat="1">
      <alignment horizontal="center" readingOrder="0" vertical="center"/>
    </xf>
    <xf borderId="53" fillId="0" fontId="40" numFmtId="10" xfId="0" applyAlignment="1" applyBorder="1" applyFont="1" applyNumberFormat="1">
      <alignment horizontal="center" readingOrder="0" vertical="center"/>
    </xf>
    <xf borderId="53" fillId="0" fontId="40" numFmtId="3" xfId="0" applyAlignment="1" applyBorder="1" applyFont="1" applyNumberFormat="1">
      <alignment horizontal="center" readingOrder="0" vertical="center"/>
    </xf>
    <xf borderId="53" fillId="0" fontId="40" numFmtId="164" xfId="0" applyAlignment="1" applyBorder="1" applyFont="1" applyNumberFormat="1">
      <alignment horizontal="center" readingOrder="0" vertical="center"/>
    </xf>
    <xf borderId="53" fillId="0" fontId="40" numFmtId="0" xfId="0" applyAlignment="1" applyBorder="1" applyFont="1">
      <alignment horizontal="center" readingOrder="0" vertical="center"/>
    </xf>
    <xf borderId="53" fillId="0" fontId="41" numFmtId="164" xfId="0" applyAlignment="1" applyBorder="1" applyFont="1" applyNumberFormat="1">
      <alignment readingOrder="0" vertical="center"/>
    </xf>
    <xf borderId="53" fillId="6" fontId="42" numFmtId="164" xfId="0" applyAlignment="1" applyBorder="1" applyFont="1" applyNumberFormat="1">
      <alignment vertical="center"/>
    </xf>
    <xf borderId="53" fillId="6" fontId="41" numFmtId="172" xfId="0" applyAlignment="1" applyBorder="1" applyFont="1" applyNumberFormat="1">
      <alignment vertical="center"/>
    </xf>
    <xf borderId="53" fillId="6" fontId="41" numFmtId="164" xfId="0" applyAlignment="1" applyBorder="1" applyFont="1" applyNumberFormat="1">
      <alignment vertical="center"/>
    </xf>
    <xf borderId="53" fillId="6" fontId="40" numFmtId="10" xfId="0" applyAlignment="1" applyBorder="1" applyFont="1" applyNumberFormat="1">
      <alignment horizontal="center" vertical="center"/>
    </xf>
    <xf borderId="53" fillId="6" fontId="40" numFmtId="3" xfId="0" applyAlignment="1" applyBorder="1" applyFont="1" applyNumberFormat="1">
      <alignment horizontal="center" vertical="center"/>
    </xf>
    <xf borderId="56" fillId="2" fontId="43" numFmtId="0" xfId="0" applyAlignment="1" applyBorder="1" applyFont="1">
      <alignment horizontal="center"/>
    </xf>
    <xf borderId="57" fillId="2" fontId="44" numFmtId="165" xfId="0" applyAlignment="1" applyBorder="1" applyFont="1" applyNumberFormat="1">
      <alignment horizontal="center" vertical="center"/>
    </xf>
    <xf borderId="57" fillId="2" fontId="44" numFmtId="166" xfId="0" applyAlignment="1" applyBorder="1" applyFont="1" applyNumberFormat="1">
      <alignment horizontal="center" vertical="center"/>
    </xf>
    <xf borderId="57" fillId="2" fontId="44" numFmtId="0" xfId="0" applyAlignment="1" applyBorder="1" applyFont="1">
      <alignment horizontal="center" vertical="center"/>
    </xf>
    <xf borderId="57" fillId="2" fontId="44" numFmtId="172" xfId="0" applyAlignment="1" applyBorder="1" applyFont="1" applyNumberFormat="1">
      <alignment horizontal="center" vertical="center"/>
    </xf>
    <xf borderId="57" fillId="2" fontId="43" numFmtId="0" xfId="0" applyBorder="1" applyFont="1"/>
    <xf borderId="57" fillId="2" fontId="45" numFmtId="0" xfId="0" applyBorder="1" applyFont="1"/>
    <xf borderId="58" fillId="2" fontId="43" numFmtId="0" xfId="0" applyBorder="1" applyFont="1"/>
    <xf borderId="59" fillId="0" fontId="45" numFmtId="0" xfId="0" applyBorder="1" applyFont="1"/>
    <xf borderId="0" fillId="0" fontId="46" numFmtId="0" xfId="0" applyAlignment="1" applyFont="1">
      <alignment horizontal="center" readingOrder="0" vertical="center"/>
    </xf>
    <xf borderId="0" fillId="0" fontId="14" numFmtId="0" xfId="0" applyFont="1"/>
    <xf borderId="0" fillId="0" fontId="14" numFmtId="166" xfId="0" applyFont="1" applyNumberFormat="1"/>
    <xf borderId="0" fillId="0" fontId="14" numFmtId="172" xfId="0" applyFont="1" applyNumberFormat="1"/>
    <xf borderId="51" fillId="0" fontId="34" numFmtId="164" xfId="0" applyAlignment="1" applyBorder="1" applyFont="1" applyNumberFormat="1">
      <alignment horizontal="center" readingOrder="0" vertical="center"/>
    </xf>
    <xf borderId="53" fillId="6" fontId="28" numFmtId="164" xfId="0" applyAlignment="1" applyBorder="1" applyFont="1" applyNumberFormat="1">
      <alignment horizontal="center" readingOrder="0" vertical="center"/>
    </xf>
    <xf borderId="53" fillId="0" fontId="29" numFmtId="3" xfId="0" applyAlignment="1" applyBorder="1" applyFont="1" applyNumberFormat="1">
      <alignment horizontal="center" readingOrder="0" vertical="center"/>
    </xf>
    <xf borderId="53" fillId="0" fontId="29" numFmtId="0" xfId="0" applyAlignment="1" applyBorder="1" applyFont="1">
      <alignment horizontal="center" readingOrder="0" vertical="center"/>
    </xf>
    <xf borderId="53" fillId="0" fontId="30" numFmtId="164" xfId="0" applyAlignment="1" applyBorder="1" applyFont="1" applyNumberFormat="1">
      <alignment readingOrder="0" vertical="center"/>
    </xf>
    <xf borderId="53" fillId="6" fontId="31" numFmtId="171" xfId="0" applyAlignment="1" applyBorder="1" applyFont="1" applyNumberFormat="1">
      <alignment vertical="center"/>
    </xf>
    <xf borderId="53" fillId="6" fontId="32" numFmtId="172" xfId="0" applyAlignment="1" applyBorder="1" applyFont="1" applyNumberFormat="1">
      <alignment vertical="center"/>
    </xf>
    <xf borderId="53" fillId="6" fontId="30" numFmtId="164" xfId="0" applyAlignment="1" applyBorder="1" applyFont="1" applyNumberFormat="1">
      <alignment vertical="center"/>
    </xf>
    <xf borderId="53" fillId="6" fontId="33" numFmtId="172" xfId="0" applyAlignment="1" applyBorder="1" applyFont="1" applyNumberFormat="1">
      <alignment vertical="center"/>
    </xf>
    <xf borderId="53" fillId="6" fontId="28" numFmtId="10" xfId="0" applyAlignment="1" applyBorder="1" applyFont="1" applyNumberFormat="1">
      <alignment horizontal="center" vertical="center"/>
    </xf>
    <xf borderId="53" fillId="6" fontId="28" numFmtId="166" xfId="0" applyAlignment="1" applyBorder="1" applyFont="1" applyNumberFormat="1">
      <alignment horizontal="center" vertical="center"/>
    </xf>
    <xf borderId="53" fillId="6" fontId="28" numFmtId="3" xfId="0" applyAlignment="1" applyBorder="1" applyFont="1" applyNumberFormat="1">
      <alignment horizontal="center" vertical="center"/>
    </xf>
    <xf borderId="51" fillId="0" fontId="40" numFmtId="165" xfId="0" applyAlignment="1" applyBorder="1" applyFont="1" applyNumberFormat="1">
      <alignment horizontal="center" readingOrder="0" vertical="center"/>
    </xf>
    <xf borderId="51" fillId="0" fontId="40" numFmtId="166" xfId="0" applyAlignment="1" applyBorder="1" applyFont="1" applyNumberFormat="1">
      <alignment horizontal="center" readingOrder="0" vertical="center"/>
    </xf>
    <xf borderId="51" fillId="0" fontId="40" numFmtId="166" xfId="0" applyAlignment="1" applyBorder="1" applyFont="1" applyNumberFormat="1">
      <alignment horizontal="center" vertical="center"/>
    </xf>
    <xf borderId="51" fillId="6" fontId="40" numFmtId="164" xfId="0" applyAlignment="1" applyBorder="1" applyFont="1" applyNumberFormat="1">
      <alignment horizontal="center" readingOrder="0" vertical="center"/>
    </xf>
    <xf borderId="51" fillId="0" fontId="40" numFmtId="164" xfId="0" applyAlignment="1" applyBorder="1" applyFont="1" applyNumberFormat="1">
      <alignment horizontal="center" readingOrder="0" vertical="center"/>
    </xf>
    <xf borderId="51" fillId="0" fontId="40" numFmtId="3" xfId="0" applyAlignment="1" applyBorder="1" applyFont="1" applyNumberFormat="1">
      <alignment horizontal="center" readingOrder="0" vertical="center"/>
    </xf>
    <xf borderId="51" fillId="0" fontId="40" numFmtId="0" xfId="0" applyAlignment="1" applyBorder="1" applyFont="1">
      <alignment horizontal="center" readingOrder="0" vertical="center"/>
    </xf>
    <xf borderId="51" fillId="0" fontId="41" numFmtId="164" xfId="0" applyAlignment="1" applyBorder="1" applyFont="1" applyNumberFormat="1">
      <alignment readingOrder="0" vertical="center"/>
    </xf>
    <xf borderId="51" fillId="6" fontId="42" numFmtId="164" xfId="0" applyAlignment="1" applyBorder="1" applyFont="1" applyNumberFormat="1">
      <alignment vertical="center"/>
    </xf>
    <xf borderId="51" fillId="6" fontId="41" numFmtId="172" xfId="0" applyAlignment="1" applyBorder="1" applyFont="1" applyNumberFormat="1">
      <alignment vertical="center"/>
    </xf>
    <xf borderId="51" fillId="6" fontId="41" numFmtId="164" xfId="0" applyAlignment="1" applyBorder="1" applyFont="1" applyNumberFormat="1">
      <alignment vertical="center"/>
    </xf>
    <xf borderId="51" fillId="6" fontId="40" numFmtId="10" xfId="0" applyAlignment="1" applyBorder="1" applyFont="1" applyNumberFormat="1">
      <alignment horizontal="center" vertical="center"/>
    </xf>
    <xf borderId="51" fillId="6" fontId="40" numFmtId="3" xfId="0" applyAlignment="1" applyBorder="1" applyFont="1" applyNumberFormat="1">
      <alignment horizontal="center" vertical="center"/>
    </xf>
    <xf borderId="0" fillId="0" fontId="47" numFmtId="0" xfId="0" applyFont="1"/>
    <xf borderId="0" fillId="0" fontId="47" numFmtId="0" xfId="0" applyAlignment="1" applyFont="1">
      <alignment readingOrder="0"/>
    </xf>
    <xf borderId="0" fillId="0" fontId="48" numFmtId="0" xfId="0" applyAlignment="1" applyFont="1">
      <alignment readingOrder="0"/>
    </xf>
  </cellXfs>
  <cellStyles count="1">
    <cellStyle xfId="0" name="Normal" builtinId="0"/>
  </cellStyles>
  <dxfs count="7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>
        <b/>
      </font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CE8B2"/>
          <bgColor rgb="FFFCE8B2"/>
        </patternFill>
      </fill>
      <border/>
    </dxf>
    <dxf>
      <font/>
      <fill>
        <patternFill patternType="solid">
          <fgColor rgb="FFF6B26B"/>
          <bgColor rgb="FFF6B26B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2C2C4D"/>
      </a:dk1>
      <a:lt1>
        <a:srgbClr val="FFFFFF"/>
      </a:lt1>
      <a:dk2>
        <a:srgbClr val="2C2C4D"/>
      </a:dk2>
      <a:lt2>
        <a:srgbClr val="FFFFFF"/>
      </a:lt2>
      <a:accent1>
        <a:srgbClr val="1D2384"/>
      </a:accent1>
      <a:accent2>
        <a:srgbClr val="E44819"/>
      </a:accent2>
      <a:accent3>
        <a:srgbClr val="F5A69B"/>
      </a:accent3>
      <a:accent4>
        <a:srgbClr val="A68057"/>
      </a:accent4>
      <a:accent5>
        <a:srgbClr val="F4AA11"/>
      </a:accent5>
      <a:accent6>
        <a:srgbClr val="D1EB60"/>
      </a:accent6>
      <a:hlink>
        <a:srgbClr val="19A86A"/>
      </a:hlink>
      <a:folHlink>
        <a:srgbClr val="19A86A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johnnyafrica.com/retire-early-millionaire" TargetMode="External"/><Relationship Id="rId2" Type="http://schemas.openxmlformats.org/officeDocument/2006/relationships/hyperlink" Target="https://johnnyafrica.com/travel-the-world-increase-net-worth/" TargetMode="External"/><Relationship Id="rId3" Type="http://schemas.openxmlformats.org/officeDocument/2006/relationships/hyperlink" Target="https://johnnyafrica.com/retire-early-millionaire" TargetMode="External"/><Relationship Id="rId4" Type="http://schemas.openxmlformats.org/officeDocument/2006/relationships/hyperlink" Target="https://johnnyafrica.com/travel-the-world-increase-net-worth/" TargetMode="External"/><Relationship Id="rId5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DD7EE"/>
    <pageSetUpPr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13.11"/>
    <col customWidth="1" min="3" max="3" width="12.56"/>
    <col customWidth="1" min="4" max="4" width="2.56"/>
    <col customWidth="1" min="5" max="5" width="8.44"/>
    <col customWidth="1" min="6" max="6" width="4.67"/>
    <col customWidth="1" min="7" max="7" width="7.33"/>
    <col customWidth="1" min="8" max="8" width="8.44"/>
    <col customWidth="1" min="9" max="9" width="5.56"/>
    <col customWidth="1" min="10" max="10" width="4.22"/>
    <col customWidth="1" min="11" max="11" width="5.0"/>
    <col customWidth="1" min="12" max="12" width="7.22"/>
    <col customWidth="1" min="13" max="13" width="17.78"/>
    <col customWidth="1" min="14" max="14" width="9.11"/>
    <col customWidth="1" min="15" max="15" width="9.22"/>
    <col customWidth="1" min="16" max="17" width="7.78"/>
    <col customWidth="1" min="18" max="19" width="7.67"/>
    <col customWidth="1" min="20" max="20" width="2.56"/>
    <col customWidth="1" min="21" max="22" width="9.44"/>
    <col customWidth="1" min="23" max="23" width="7.33"/>
    <col customWidth="1" min="24" max="24" width="5.44"/>
    <col customWidth="1" min="25" max="26" width="9.44"/>
    <col customWidth="1" min="27" max="27" width="2.56"/>
    <col customWidth="1" min="28" max="28" width="8.0"/>
    <col customWidth="1" min="29" max="29" width="11.22"/>
  </cols>
  <sheetData>
    <row r="1" ht="15.0" customHeight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</row>
    <row r="2" ht="18.0" customHeight="1">
      <c r="A2" s="6"/>
      <c r="B2" s="7" t="s">
        <v>0</v>
      </c>
      <c r="C2" s="8" t="s">
        <v>1</v>
      </c>
      <c r="D2" s="9"/>
      <c r="E2" s="10" t="str">
        <f>IFERROR(__xludf.DUMMYFUNCTION("googlefinance(C2, ""name"")"),"AT&amp;T Inc")</f>
        <v>AT&amp;T Inc</v>
      </c>
      <c r="F2" s="11"/>
      <c r="G2" s="11"/>
      <c r="H2" s="11"/>
      <c r="I2" s="11"/>
      <c r="J2" s="11"/>
      <c r="K2" s="11"/>
      <c r="L2" s="11"/>
      <c r="M2" s="12"/>
      <c r="N2" s="13"/>
      <c r="O2" s="14" t="str">
        <f>B22+WFC!B22+KO!B22+PFE!B22+ARKK!B22+MSFT!B22+MARA!B22+NIO!B22</f>
        <v>#REF!</v>
      </c>
      <c r="P2" s="15"/>
      <c r="Q2" s="15"/>
      <c r="R2" s="15"/>
      <c r="S2" s="15"/>
      <c r="T2" s="15"/>
      <c r="U2" s="16" t="s">
        <v>2</v>
      </c>
      <c r="V2" s="17"/>
      <c r="W2" s="18"/>
      <c r="X2" s="19">
        <f>B16</f>
        <v>-509</v>
      </c>
      <c r="Y2" s="11"/>
      <c r="Z2" s="20"/>
      <c r="AA2" s="21"/>
      <c r="AB2" s="5"/>
      <c r="AC2" s="5"/>
    </row>
    <row r="3" ht="18.0" customHeight="1">
      <c r="A3" s="22"/>
      <c r="B3" s="23"/>
      <c r="C3" s="23"/>
      <c r="D3" s="24"/>
      <c r="E3" s="25"/>
      <c r="F3" s="26"/>
      <c r="G3" s="26"/>
      <c r="H3" s="26"/>
      <c r="I3" s="26"/>
      <c r="J3" s="26"/>
      <c r="K3" s="26"/>
      <c r="L3" s="26"/>
      <c r="M3" s="27"/>
      <c r="N3" s="13"/>
      <c r="O3" s="15"/>
      <c r="P3" s="15"/>
      <c r="Q3" s="15"/>
      <c r="R3" s="15"/>
      <c r="S3" s="15"/>
      <c r="T3" s="15"/>
      <c r="U3" s="28"/>
      <c r="V3" s="26"/>
      <c r="W3" s="29"/>
      <c r="X3" s="30"/>
      <c r="Y3" s="31"/>
      <c r="Z3" s="32"/>
      <c r="AA3" s="33"/>
      <c r="AB3" s="5"/>
      <c r="AC3" s="5"/>
    </row>
    <row r="4" ht="15.0" customHeight="1">
      <c r="A4" s="34"/>
      <c r="B4" s="35"/>
      <c r="C4" s="35"/>
      <c r="D4" s="36"/>
      <c r="E4" s="37"/>
      <c r="F4" s="37"/>
      <c r="G4" s="37"/>
      <c r="H4" s="37"/>
      <c r="I4" s="37"/>
      <c r="J4" s="38"/>
      <c r="K4" s="38"/>
      <c r="L4" s="38"/>
      <c r="M4" s="39"/>
      <c r="N4" s="39"/>
      <c r="O4" s="40"/>
      <c r="P4" s="40"/>
      <c r="Q4" s="40"/>
      <c r="R4" s="40"/>
      <c r="S4" s="40"/>
      <c r="T4" s="15"/>
      <c r="U4" s="38"/>
      <c r="V4" s="38"/>
      <c r="W4" s="38"/>
      <c r="X4" s="39"/>
      <c r="Y4" s="39"/>
      <c r="Z4" s="39"/>
      <c r="AA4" s="33"/>
      <c r="AB4" s="5"/>
      <c r="AC4" s="5"/>
    </row>
    <row r="5" ht="18.0" customHeight="1">
      <c r="A5" s="34"/>
      <c r="B5" s="41" t="s">
        <v>3</v>
      </c>
      <c r="C5" s="42"/>
      <c r="D5" s="43"/>
      <c r="E5" s="44" t="s">
        <v>4</v>
      </c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6"/>
      <c r="T5" s="47"/>
      <c r="U5" s="44" t="s">
        <v>5</v>
      </c>
      <c r="V5" s="45"/>
      <c r="W5" s="45"/>
      <c r="X5" s="45"/>
      <c r="Y5" s="45"/>
      <c r="Z5" s="46"/>
      <c r="AA5" s="48"/>
      <c r="AB5" s="5"/>
      <c r="AC5" s="5"/>
    </row>
    <row r="6" ht="18.0" customHeight="1">
      <c r="A6" s="34"/>
      <c r="B6" s="49">
        <f>IFERROR(__xludf.DUMMYFUNCTION("googlefinance(C2,""price"")"),27.39)</f>
        <v>27.39</v>
      </c>
      <c r="C6" s="50"/>
      <c r="D6" s="43"/>
      <c r="E6" s="51" t="s">
        <v>6</v>
      </c>
      <c r="F6" s="52" t="s">
        <v>7</v>
      </c>
      <c r="G6" s="52" t="s">
        <v>8</v>
      </c>
      <c r="H6" s="53" t="s">
        <v>9</v>
      </c>
      <c r="I6" s="52" t="s">
        <v>10</v>
      </c>
      <c r="J6" s="52" t="s">
        <v>11</v>
      </c>
      <c r="K6" s="52" t="s">
        <v>12</v>
      </c>
      <c r="L6" s="51" t="s">
        <v>13</v>
      </c>
      <c r="M6" s="52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4" t="s">
        <v>19</v>
      </c>
      <c r="S6" s="51" t="s">
        <v>20</v>
      </c>
      <c r="T6" s="47"/>
      <c r="U6" s="51" t="s">
        <v>21</v>
      </c>
      <c r="V6" s="52" t="s">
        <v>22</v>
      </c>
      <c r="W6" s="52" t="s">
        <v>8</v>
      </c>
      <c r="X6" s="53" t="s">
        <v>23</v>
      </c>
      <c r="Y6" s="52" t="s">
        <v>24</v>
      </c>
      <c r="Z6" s="52" t="s">
        <v>25</v>
      </c>
      <c r="AA6" s="48"/>
      <c r="AB6" s="5"/>
      <c r="AC6" s="5"/>
    </row>
    <row r="7" ht="18.0" customHeight="1">
      <c r="A7" s="34"/>
      <c r="B7" s="55"/>
      <c r="C7" s="56"/>
      <c r="D7" s="43"/>
      <c r="E7" s="57">
        <v>44327.0</v>
      </c>
      <c r="F7" s="58" t="s">
        <v>26</v>
      </c>
      <c r="G7" s="58" t="s">
        <v>27</v>
      </c>
      <c r="H7" s="57">
        <v>44330.0</v>
      </c>
      <c r="I7" s="59">
        <v>33.0</v>
      </c>
      <c r="J7" s="60">
        <v>1.0</v>
      </c>
      <c r="K7" s="59">
        <v>0.07</v>
      </c>
      <c r="L7" s="61">
        <f>IF(E7="","",IF(AND(F7="Stock",G7="Buy"),(100*((J7*K7)*-1)),IF(AND(F7="Call",G7="Buy"),(100*((J7*K7)*-1)),IF(AND(F7="PUT",G7="Buy"),(100*((J7*K7)*-1)),100*(J7*K7)))))</f>
        <v>7</v>
      </c>
      <c r="M7" s="62" t="s">
        <v>28</v>
      </c>
      <c r="N7" s="63"/>
      <c r="O7" s="64"/>
      <c r="P7" s="61">
        <f>IF(E7="","",IF(AND(F7="Stock",G7="Buy"),(100*((J7*O7)*1)),IF(AND(F7="Call",G7="Buy"),(100*((J7*O7)*1)),IF(AND(F7="PUT",G7="Buy"),(100*((J7*O7)*1)),(100*(J7*O7))*-1))))</f>
        <v>0</v>
      </c>
      <c r="Q7" s="61">
        <f>IF(L7="","",L7+P7)</f>
        <v>7</v>
      </c>
      <c r="R7" s="65">
        <f>K7/B6</f>
        <v>0.002555677254</v>
      </c>
      <c r="S7" s="66">
        <f>IF(AND(E7="",N7=""),"",IF(N7="",TODAY()-E7,N7-E7))</f>
        <v>1766</v>
      </c>
      <c r="T7" s="47"/>
      <c r="U7" s="57">
        <v>44327.0</v>
      </c>
      <c r="V7" s="58"/>
      <c r="W7" s="58" t="s">
        <v>29</v>
      </c>
      <c r="X7" s="67">
        <v>100.0</v>
      </c>
      <c r="Y7" s="59">
        <v>32.55</v>
      </c>
      <c r="Z7" s="68">
        <f>IF(X7="","",(X7*Y7)*-1)</f>
        <v>-3255</v>
      </c>
      <c r="AA7" s="48"/>
      <c r="AB7" s="5"/>
      <c r="AC7" s="5"/>
    </row>
    <row r="8" ht="18.0" customHeight="1">
      <c r="A8" s="34"/>
      <c r="B8" s="37"/>
      <c r="C8" s="37"/>
      <c r="D8" s="43"/>
      <c r="E8" s="63"/>
      <c r="F8" s="58"/>
      <c r="G8" s="58"/>
      <c r="H8" s="63"/>
      <c r="I8" s="69"/>
      <c r="J8" s="60"/>
      <c r="K8" s="69"/>
      <c r="L8" s="61"/>
      <c r="M8" s="58"/>
      <c r="N8" s="63"/>
      <c r="O8" s="64"/>
      <c r="P8" s="61"/>
      <c r="Q8" s="61"/>
      <c r="R8" s="66"/>
      <c r="S8" s="66"/>
      <c r="T8" s="47"/>
      <c r="U8" s="63"/>
      <c r="V8" s="58"/>
      <c r="W8" s="58"/>
      <c r="X8" s="67"/>
      <c r="Y8" s="69"/>
      <c r="Z8" s="68"/>
      <c r="AA8" s="48"/>
      <c r="AB8" s="5"/>
      <c r="AC8" s="5"/>
    </row>
    <row r="9" ht="18.0" customHeight="1">
      <c r="A9" s="6"/>
      <c r="B9" s="51" t="s">
        <v>30</v>
      </c>
      <c r="C9" s="51" t="s">
        <v>31</v>
      </c>
      <c r="D9" s="70"/>
      <c r="E9" s="63"/>
      <c r="F9" s="58"/>
      <c r="G9" s="58"/>
      <c r="H9" s="63"/>
      <c r="I9" s="69"/>
      <c r="J9" s="71"/>
      <c r="K9" s="69"/>
      <c r="L9" s="61"/>
      <c r="M9" s="58"/>
      <c r="N9" s="63"/>
      <c r="O9" s="64"/>
      <c r="P9" s="61"/>
      <c r="Q9" s="61"/>
      <c r="R9" s="66"/>
      <c r="S9" s="66"/>
      <c r="T9" s="47"/>
      <c r="U9" s="57"/>
      <c r="V9" s="58"/>
      <c r="W9" s="58"/>
      <c r="X9" s="62"/>
      <c r="Y9" s="59"/>
      <c r="Z9" s="68"/>
      <c r="AA9" s="72"/>
      <c r="AB9" s="5"/>
      <c r="AC9" s="5"/>
    </row>
    <row r="10" ht="18.0" customHeight="1">
      <c r="A10" s="6"/>
      <c r="B10" s="73">
        <f>IF(X7="",0,SUM(Z7:Z32))</f>
        <v>-3255</v>
      </c>
      <c r="C10" s="74">
        <f>IF(SUM(X7:X24)=0,0,B6*(SUM(X7:X444)))</f>
        <v>2739</v>
      </c>
      <c r="D10" s="70"/>
      <c r="E10" s="63"/>
      <c r="F10" s="58"/>
      <c r="G10" s="58"/>
      <c r="H10" s="63"/>
      <c r="I10" s="69"/>
      <c r="J10" s="71"/>
      <c r="K10" s="69"/>
      <c r="L10" s="61"/>
      <c r="M10" s="58"/>
      <c r="N10" s="63"/>
      <c r="O10" s="64"/>
      <c r="P10" s="61"/>
      <c r="Q10" s="61"/>
      <c r="R10" s="66"/>
      <c r="S10" s="66"/>
      <c r="T10" s="47"/>
      <c r="U10" s="63"/>
      <c r="V10" s="58"/>
      <c r="W10" s="58"/>
      <c r="X10" s="67"/>
      <c r="Y10" s="69"/>
      <c r="Z10" s="68" t="str">
        <f t="shared" ref="Z10:Z31" si="1">IF(X10="","",(X10*Y10)*-1)</f>
        <v/>
      </c>
      <c r="AA10" s="72"/>
      <c r="AB10" s="5"/>
      <c r="AC10" s="5"/>
    </row>
    <row r="11" ht="18.0" customHeight="1">
      <c r="A11" s="75"/>
      <c r="B11" s="76"/>
      <c r="C11" s="77"/>
      <c r="D11" s="78"/>
      <c r="E11" s="57"/>
      <c r="F11" s="58"/>
      <c r="G11" s="58"/>
      <c r="H11" s="63"/>
      <c r="I11" s="69"/>
      <c r="J11" s="71"/>
      <c r="K11" s="69"/>
      <c r="L11" s="61"/>
      <c r="M11" s="79"/>
      <c r="N11" s="57"/>
      <c r="O11" s="80"/>
      <c r="P11" s="61"/>
      <c r="Q11" s="61"/>
      <c r="R11" s="66"/>
      <c r="S11" s="66"/>
      <c r="T11" s="47"/>
      <c r="U11" s="63"/>
      <c r="V11" s="58"/>
      <c r="W11" s="58"/>
      <c r="X11" s="67"/>
      <c r="Y11" s="69"/>
      <c r="Z11" s="68" t="str">
        <f t="shared" si="1"/>
        <v/>
      </c>
      <c r="AA11" s="72"/>
      <c r="AB11" s="5"/>
      <c r="AC11" s="5"/>
    </row>
    <row r="12" ht="18.0" customHeight="1">
      <c r="A12" s="6"/>
      <c r="B12" s="51" t="s">
        <v>32</v>
      </c>
      <c r="C12" s="51" t="s">
        <v>33</v>
      </c>
      <c r="D12" s="70"/>
      <c r="E12" s="63"/>
      <c r="F12" s="58"/>
      <c r="G12" s="58"/>
      <c r="H12" s="63"/>
      <c r="I12" s="69"/>
      <c r="J12" s="60"/>
      <c r="K12" s="69"/>
      <c r="L12" s="61" t="str">
        <f t="shared" ref="L12:L32" si="2">IF(E12="","",IF(AND(F12="Stock",G12="Buy"),(100*((J12*K12)*-1)),IF(AND(F12="Call",G12="Buy"),(100*((J12*K12)*-1)),IF(AND(F12="PUT",G12="Buy"),(100*((J12*K12)*-1)),100*(J12*K12)))))</f>
        <v/>
      </c>
      <c r="M12" s="58"/>
      <c r="N12" s="63"/>
      <c r="O12" s="64"/>
      <c r="P12" s="61" t="str">
        <f t="shared" ref="P12:P32" si="3">IF(E12="","",IF(AND(F12="Stock",G12="Buy"),(100*((J12*O12)*1)),IF(AND(F12="Call",G12="Buy"),(100*((J12*O12)*1)),IF(AND(F12="PUT",G12="Buy"),(100*((J12*O12)*1)),(100*(J12*O12))*-1))))</f>
        <v/>
      </c>
      <c r="Q12" s="61" t="str">
        <f t="shared" ref="Q12:Q32" si="4">IF(L12="","",L12+P12)</f>
        <v/>
      </c>
      <c r="R12" s="66"/>
      <c r="S12" s="66" t="str">
        <f t="shared" ref="S12:S32" si="5">IF(AND(E12="",N12=""),"",IF(N12="",TODAY()-E12,N12-E12))</f>
        <v/>
      </c>
      <c r="T12" s="47"/>
      <c r="U12" s="63"/>
      <c r="V12" s="58"/>
      <c r="W12" s="58"/>
      <c r="X12" s="67"/>
      <c r="Y12" s="69"/>
      <c r="Z12" s="68" t="str">
        <f t="shared" si="1"/>
        <v/>
      </c>
      <c r="AA12" s="72"/>
      <c r="AB12" s="5"/>
      <c r="AC12" s="5"/>
    </row>
    <row r="13" ht="18.0" customHeight="1">
      <c r="A13" s="6"/>
      <c r="B13" s="74">
        <f>IF(X7="",0,(B10/SUM(X7:X32))*-1)</f>
        <v>32.55</v>
      </c>
      <c r="C13" s="74">
        <f>IF(X7="",0,((SUM(B22,B10)/SUM(X7:X32)))*-1)</f>
        <v>32.48</v>
      </c>
      <c r="D13" s="70"/>
      <c r="E13" s="63"/>
      <c r="F13" s="58"/>
      <c r="G13" s="58"/>
      <c r="H13" s="63"/>
      <c r="I13" s="69"/>
      <c r="J13" s="60"/>
      <c r="K13" s="69"/>
      <c r="L13" s="61" t="str">
        <f t="shared" si="2"/>
        <v/>
      </c>
      <c r="M13" s="58"/>
      <c r="N13" s="63"/>
      <c r="O13" s="64"/>
      <c r="P13" s="61" t="str">
        <f t="shared" si="3"/>
        <v/>
      </c>
      <c r="Q13" s="61" t="str">
        <f t="shared" si="4"/>
        <v/>
      </c>
      <c r="R13" s="66"/>
      <c r="S13" s="66" t="str">
        <f t="shared" si="5"/>
        <v/>
      </c>
      <c r="T13" s="47"/>
      <c r="U13" s="63"/>
      <c r="V13" s="58"/>
      <c r="W13" s="58"/>
      <c r="X13" s="67"/>
      <c r="Y13" s="69"/>
      <c r="Z13" s="68" t="str">
        <f t="shared" si="1"/>
        <v/>
      </c>
      <c r="AA13" s="72"/>
      <c r="AB13" s="5"/>
      <c r="AC13" s="5"/>
    </row>
    <row r="14" ht="18.0" customHeight="1">
      <c r="A14" s="75"/>
      <c r="B14" s="77"/>
      <c r="C14" s="77"/>
      <c r="D14" s="78"/>
      <c r="E14" s="63"/>
      <c r="F14" s="58"/>
      <c r="G14" s="58"/>
      <c r="H14" s="63"/>
      <c r="I14" s="69"/>
      <c r="J14" s="60"/>
      <c r="K14" s="69"/>
      <c r="L14" s="61" t="str">
        <f t="shared" si="2"/>
        <v/>
      </c>
      <c r="M14" s="58"/>
      <c r="N14" s="63"/>
      <c r="O14" s="64"/>
      <c r="P14" s="61" t="str">
        <f t="shared" si="3"/>
        <v/>
      </c>
      <c r="Q14" s="61" t="str">
        <f t="shared" si="4"/>
        <v/>
      </c>
      <c r="R14" s="66"/>
      <c r="S14" s="66" t="str">
        <f t="shared" si="5"/>
        <v/>
      </c>
      <c r="T14" s="47"/>
      <c r="U14" s="63"/>
      <c r="V14" s="58"/>
      <c r="W14" s="58"/>
      <c r="X14" s="67"/>
      <c r="Y14" s="69"/>
      <c r="Z14" s="68" t="str">
        <f t="shared" si="1"/>
        <v/>
      </c>
      <c r="AA14" s="72"/>
      <c r="AB14" s="5"/>
      <c r="AC14" s="81"/>
    </row>
    <row r="15" ht="18.0" customHeight="1">
      <c r="A15" s="6"/>
      <c r="B15" s="51" t="s">
        <v>34</v>
      </c>
      <c r="C15" s="54" t="s">
        <v>35</v>
      </c>
      <c r="D15" s="70"/>
      <c r="E15" s="63"/>
      <c r="F15" s="58"/>
      <c r="G15" s="58"/>
      <c r="H15" s="63"/>
      <c r="I15" s="69"/>
      <c r="J15" s="60"/>
      <c r="K15" s="69"/>
      <c r="L15" s="61" t="str">
        <f t="shared" si="2"/>
        <v/>
      </c>
      <c r="M15" s="58"/>
      <c r="N15" s="63"/>
      <c r="O15" s="64"/>
      <c r="P15" s="61" t="str">
        <f t="shared" si="3"/>
        <v/>
      </c>
      <c r="Q15" s="61" t="str">
        <f t="shared" si="4"/>
        <v/>
      </c>
      <c r="R15" s="66"/>
      <c r="S15" s="66" t="str">
        <f t="shared" si="5"/>
        <v/>
      </c>
      <c r="T15" s="70"/>
      <c r="U15" s="63"/>
      <c r="V15" s="58"/>
      <c r="W15" s="58"/>
      <c r="X15" s="67"/>
      <c r="Y15" s="69"/>
      <c r="Z15" s="68" t="str">
        <f t="shared" si="1"/>
        <v/>
      </c>
      <c r="AA15" s="72"/>
      <c r="AB15" s="5"/>
      <c r="AC15" s="5"/>
    </row>
    <row r="16" ht="18.0" customHeight="1">
      <c r="A16" s="6"/>
      <c r="B16" s="73">
        <f>SUM(B19,B22)</f>
        <v>-509</v>
      </c>
      <c r="C16" s="82">
        <f>IF(B10=0,1,($B$16/$B$10)*-1)</f>
        <v>-0.156374808</v>
      </c>
      <c r="D16" s="70"/>
      <c r="E16" s="63"/>
      <c r="F16" s="58"/>
      <c r="G16" s="58"/>
      <c r="H16" s="63"/>
      <c r="I16" s="69"/>
      <c r="J16" s="60"/>
      <c r="K16" s="69"/>
      <c r="L16" s="61" t="str">
        <f t="shared" si="2"/>
        <v/>
      </c>
      <c r="M16" s="58"/>
      <c r="N16" s="63"/>
      <c r="O16" s="64"/>
      <c r="P16" s="61" t="str">
        <f t="shared" si="3"/>
        <v/>
      </c>
      <c r="Q16" s="61" t="str">
        <f t="shared" si="4"/>
        <v/>
      </c>
      <c r="R16" s="66"/>
      <c r="S16" s="66" t="str">
        <f t="shared" si="5"/>
        <v/>
      </c>
      <c r="T16" s="70"/>
      <c r="U16" s="63"/>
      <c r="V16" s="58"/>
      <c r="W16" s="58"/>
      <c r="X16" s="67"/>
      <c r="Y16" s="69"/>
      <c r="Z16" s="68" t="str">
        <f t="shared" si="1"/>
        <v/>
      </c>
      <c r="AA16" s="72"/>
      <c r="AB16" s="5"/>
      <c r="AC16" s="5"/>
    </row>
    <row r="17" ht="18.0" customHeight="1">
      <c r="A17" s="75"/>
      <c r="B17" s="83"/>
      <c r="C17" s="83"/>
      <c r="D17" s="78"/>
      <c r="E17" s="63"/>
      <c r="F17" s="58"/>
      <c r="G17" s="58"/>
      <c r="H17" s="63"/>
      <c r="I17" s="69"/>
      <c r="J17" s="60"/>
      <c r="K17" s="69"/>
      <c r="L17" s="61" t="str">
        <f t="shared" si="2"/>
        <v/>
      </c>
      <c r="M17" s="58"/>
      <c r="N17" s="63"/>
      <c r="O17" s="64"/>
      <c r="P17" s="61" t="str">
        <f t="shared" si="3"/>
        <v/>
      </c>
      <c r="Q17" s="61" t="str">
        <f t="shared" si="4"/>
        <v/>
      </c>
      <c r="R17" s="66"/>
      <c r="S17" s="66" t="str">
        <f t="shared" si="5"/>
        <v/>
      </c>
      <c r="T17" s="70"/>
      <c r="U17" s="63"/>
      <c r="V17" s="58"/>
      <c r="W17" s="58"/>
      <c r="X17" s="67"/>
      <c r="Y17" s="69"/>
      <c r="Z17" s="68" t="str">
        <f t="shared" si="1"/>
        <v/>
      </c>
      <c r="AA17" s="72"/>
      <c r="AB17" s="5"/>
      <c r="AC17" s="5"/>
    </row>
    <row r="18" ht="18.0" customHeight="1">
      <c r="A18" s="75"/>
      <c r="B18" s="84" t="s">
        <v>36</v>
      </c>
      <c r="C18" s="85" t="s">
        <v>35</v>
      </c>
      <c r="D18" s="78"/>
      <c r="E18" s="63"/>
      <c r="F18" s="58"/>
      <c r="G18" s="58"/>
      <c r="H18" s="63"/>
      <c r="I18" s="69"/>
      <c r="J18" s="60"/>
      <c r="K18" s="69"/>
      <c r="L18" s="61" t="str">
        <f t="shared" si="2"/>
        <v/>
      </c>
      <c r="M18" s="58"/>
      <c r="N18" s="63"/>
      <c r="O18" s="64"/>
      <c r="P18" s="61" t="str">
        <f t="shared" si="3"/>
        <v/>
      </c>
      <c r="Q18" s="61" t="str">
        <f t="shared" si="4"/>
        <v/>
      </c>
      <c r="R18" s="66"/>
      <c r="S18" s="66" t="str">
        <f t="shared" si="5"/>
        <v/>
      </c>
      <c r="T18" s="70"/>
      <c r="U18" s="63"/>
      <c r="V18" s="58"/>
      <c r="W18" s="58"/>
      <c r="X18" s="67"/>
      <c r="Y18" s="69"/>
      <c r="Z18" s="68" t="str">
        <f t="shared" si="1"/>
        <v/>
      </c>
      <c r="AA18" s="72"/>
      <c r="AB18" s="5"/>
      <c r="AC18" s="5"/>
    </row>
    <row r="19" ht="18.0" customHeight="1">
      <c r="A19" s="75"/>
      <c r="B19" s="86">
        <f>C10+B10</f>
        <v>-516</v>
      </c>
      <c r="C19" s="87">
        <f>IF(B19=0,0,($B$19/$B$10)*-1)</f>
        <v>-0.1585253456</v>
      </c>
      <c r="D19" s="78"/>
      <c r="E19" s="63"/>
      <c r="F19" s="58"/>
      <c r="G19" s="58"/>
      <c r="H19" s="63"/>
      <c r="I19" s="69"/>
      <c r="J19" s="60"/>
      <c r="K19" s="69"/>
      <c r="L19" s="61" t="str">
        <f t="shared" si="2"/>
        <v/>
      </c>
      <c r="M19" s="58"/>
      <c r="N19" s="63"/>
      <c r="O19" s="64"/>
      <c r="P19" s="61" t="str">
        <f t="shared" si="3"/>
        <v/>
      </c>
      <c r="Q19" s="61" t="str">
        <f t="shared" si="4"/>
        <v/>
      </c>
      <c r="R19" s="66"/>
      <c r="S19" s="66" t="str">
        <f t="shared" si="5"/>
        <v/>
      </c>
      <c r="T19" s="70"/>
      <c r="U19" s="63"/>
      <c r="V19" s="58"/>
      <c r="W19" s="58"/>
      <c r="X19" s="67"/>
      <c r="Y19" s="69"/>
      <c r="Z19" s="68" t="str">
        <f t="shared" si="1"/>
        <v/>
      </c>
      <c r="AA19" s="72"/>
      <c r="AB19" s="5"/>
      <c r="AC19" s="5"/>
    </row>
    <row r="20" ht="18.0" customHeight="1">
      <c r="A20" s="75"/>
      <c r="B20" s="88"/>
      <c r="C20" s="88"/>
      <c r="D20" s="78"/>
      <c r="E20" s="63"/>
      <c r="F20" s="58"/>
      <c r="G20" s="58"/>
      <c r="H20" s="63"/>
      <c r="I20" s="69"/>
      <c r="J20" s="60"/>
      <c r="K20" s="69"/>
      <c r="L20" s="61" t="str">
        <f t="shared" si="2"/>
        <v/>
      </c>
      <c r="M20" s="58"/>
      <c r="N20" s="63"/>
      <c r="O20" s="64"/>
      <c r="P20" s="61" t="str">
        <f t="shared" si="3"/>
        <v/>
      </c>
      <c r="Q20" s="61" t="str">
        <f t="shared" si="4"/>
        <v/>
      </c>
      <c r="R20" s="66"/>
      <c r="S20" s="66" t="str">
        <f t="shared" si="5"/>
        <v/>
      </c>
      <c r="T20" s="70"/>
      <c r="U20" s="63"/>
      <c r="V20" s="58"/>
      <c r="W20" s="58"/>
      <c r="X20" s="67"/>
      <c r="Y20" s="69"/>
      <c r="Z20" s="68" t="str">
        <f t="shared" si="1"/>
        <v/>
      </c>
      <c r="AA20" s="72"/>
      <c r="AB20" s="5"/>
      <c r="AC20" s="5"/>
    </row>
    <row r="21" ht="18.0" customHeight="1">
      <c r="A21" s="75"/>
      <c r="B21" s="84" t="s">
        <v>37</v>
      </c>
      <c r="C21" s="85" t="s">
        <v>35</v>
      </c>
      <c r="D21" s="78"/>
      <c r="E21" s="63"/>
      <c r="F21" s="58"/>
      <c r="G21" s="58"/>
      <c r="H21" s="63"/>
      <c r="I21" s="69"/>
      <c r="J21" s="60"/>
      <c r="K21" s="69"/>
      <c r="L21" s="61" t="str">
        <f t="shared" si="2"/>
        <v/>
      </c>
      <c r="M21" s="58"/>
      <c r="N21" s="63"/>
      <c r="O21" s="64"/>
      <c r="P21" s="61" t="str">
        <f t="shared" si="3"/>
        <v/>
      </c>
      <c r="Q21" s="61" t="str">
        <f t="shared" si="4"/>
        <v/>
      </c>
      <c r="R21" s="66"/>
      <c r="S21" s="66" t="str">
        <f t="shared" si="5"/>
        <v/>
      </c>
      <c r="T21" s="70"/>
      <c r="U21" s="63"/>
      <c r="V21" s="58"/>
      <c r="W21" s="58"/>
      <c r="X21" s="67"/>
      <c r="Y21" s="69"/>
      <c r="Z21" s="68" t="str">
        <f t="shared" si="1"/>
        <v/>
      </c>
      <c r="AA21" s="72"/>
      <c r="AB21" s="5"/>
      <c r="AC21" s="5"/>
    </row>
    <row r="22" ht="18.0" customHeight="1">
      <c r="A22" s="75"/>
      <c r="B22" s="86">
        <f>SUM(L7:L32)+SUM(P7:P32)</f>
        <v>7</v>
      </c>
      <c r="C22" s="87">
        <f>IF($B$10=0,1,($B$22/$B$10)*-1)</f>
        <v>0.002150537634</v>
      </c>
      <c r="D22" s="78"/>
      <c r="E22" s="63"/>
      <c r="F22" s="89"/>
      <c r="G22" s="90"/>
      <c r="H22" s="91"/>
      <c r="I22" s="74"/>
      <c r="J22" s="60"/>
      <c r="K22" s="74"/>
      <c r="L22" s="61" t="str">
        <f t="shared" si="2"/>
        <v/>
      </c>
      <c r="M22" s="58"/>
      <c r="N22" s="63"/>
      <c r="O22" s="64"/>
      <c r="P22" s="61" t="str">
        <f t="shared" si="3"/>
        <v/>
      </c>
      <c r="Q22" s="61" t="str">
        <f t="shared" si="4"/>
        <v/>
      </c>
      <c r="R22" s="66"/>
      <c r="S22" s="66" t="str">
        <f t="shared" si="5"/>
        <v/>
      </c>
      <c r="T22" s="70"/>
      <c r="U22" s="63"/>
      <c r="V22" s="58"/>
      <c r="W22" s="58"/>
      <c r="X22" s="67"/>
      <c r="Y22" s="69"/>
      <c r="Z22" s="68" t="str">
        <f t="shared" si="1"/>
        <v/>
      </c>
      <c r="AA22" s="72"/>
      <c r="AB22" s="5"/>
      <c r="AC22" s="5"/>
    </row>
    <row r="23" ht="18.0" customHeight="1">
      <c r="A23" s="75"/>
      <c r="B23" s="88"/>
      <c r="C23" s="88"/>
      <c r="D23" s="78"/>
      <c r="E23" s="63"/>
      <c r="F23" s="58"/>
      <c r="G23" s="90"/>
      <c r="H23" s="91"/>
      <c r="I23" s="74"/>
      <c r="J23" s="60"/>
      <c r="K23" s="74"/>
      <c r="L23" s="61" t="str">
        <f t="shared" si="2"/>
        <v/>
      </c>
      <c r="M23" s="58"/>
      <c r="N23" s="63"/>
      <c r="O23" s="64"/>
      <c r="P23" s="61" t="str">
        <f t="shared" si="3"/>
        <v/>
      </c>
      <c r="Q23" s="61" t="str">
        <f t="shared" si="4"/>
        <v/>
      </c>
      <c r="R23" s="66"/>
      <c r="S23" s="66" t="str">
        <f t="shared" si="5"/>
        <v/>
      </c>
      <c r="T23" s="70"/>
      <c r="U23" s="63"/>
      <c r="V23" s="58"/>
      <c r="W23" s="58"/>
      <c r="X23" s="67"/>
      <c r="Y23" s="69"/>
      <c r="Z23" s="68" t="str">
        <f t="shared" si="1"/>
        <v/>
      </c>
      <c r="AA23" s="72"/>
      <c r="AB23" s="5"/>
      <c r="AC23" s="5"/>
    </row>
    <row r="24" ht="18.0" customHeight="1">
      <c r="A24" s="75"/>
      <c r="B24" s="84" t="s">
        <v>38</v>
      </c>
      <c r="C24" s="92" t="s">
        <v>35</v>
      </c>
      <c r="D24" s="78"/>
      <c r="E24" s="63"/>
      <c r="F24" s="58"/>
      <c r="G24" s="90"/>
      <c r="H24" s="91"/>
      <c r="I24" s="74"/>
      <c r="J24" s="60"/>
      <c r="K24" s="74"/>
      <c r="L24" s="61" t="str">
        <f t="shared" si="2"/>
        <v/>
      </c>
      <c r="M24" s="58"/>
      <c r="N24" s="63"/>
      <c r="O24" s="64"/>
      <c r="P24" s="61" t="str">
        <f t="shared" si="3"/>
        <v/>
      </c>
      <c r="Q24" s="61" t="str">
        <f t="shared" si="4"/>
        <v/>
      </c>
      <c r="R24" s="66"/>
      <c r="S24" s="66" t="str">
        <f t="shared" si="5"/>
        <v/>
      </c>
      <c r="T24" s="70"/>
      <c r="U24" s="63"/>
      <c r="V24" s="58"/>
      <c r="W24" s="58"/>
      <c r="X24" s="67"/>
      <c r="Y24" s="69"/>
      <c r="Z24" s="68" t="str">
        <f t="shared" si="1"/>
        <v/>
      </c>
      <c r="AA24" s="72"/>
      <c r="AB24" s="5"/>
      <c r="AC24" s="5"/>
    </row>
    <row r="25" ht="18.0" customHeight="1">
      <c r="A25" s="75"/>
      <c r="B25" s="86">
        <f>IF(SUM(X7:X32)=0,0,(SUM(X7:X32)*C31)+B10)</f>
        <v>45</v>
      </c>
      <c r="C25" s="87">
        <f>IF(B25=0,0,($B$25/$B$10)*-1)</f>
        <v>0.01382488479</v>
      </c>
      <c r="D25" s="78"/>
      <c r="E25" s="63"/>
      <c r="F25" s="58"/>
      <c r="G25" s="90"/>
      <c r="H25" s="91"/>
      <c r="I25" s="74"/>
      <c r="J25" s="60"/>
      <c r="K25" s="74"/>
      <c r="L25" s="61" t="str">
        <f t="shared" si="2"/>
        <v/>
      </c>
      <c r="M25" s="58"/>
      <c r="N25" s="63"/>
      <c r="O25" s="64"/>
      <c r="P25" s="61" t="str">
        <f t="shared" si="3"/>
        <v/>
      </c>
      <c r="Q25" s="61" t="str">
        <f t="shared" si="4"/>
        <v/>
      </c>
      <c r="R25" s="66"/>
      <c r="S25" s="66" t="str">
        <f t="shared" si="5"/>
        <v/>
      </c>
      <c r="T25" s="70"/>
      <c r="U25" s="93"/>
      <c r="V25" s="93"/>
      <c r="W25" s="93"/>
      <c r="X25" s="93"/>
      <c r="Y25" s="94"/>
      <c r="Z25" s="68" t="str">
        <f t="shared" si="1"/>
        <v/>
      </c>
      <c r="AA25" s="72"/>
      <c r="AB25" s="5"/>
      <c r="AC25" s="5"/>
    </row>
    <row r="26" ht="18.0" customHeight="1">
      <c r="A26" s="75"/>
      <c r="B26" s="88"/>
      <c r="C26" s="88"/>
      <c r="D26" s="78"/>
      <c r="E26" s="63"/>
      <c r="F26" s="58"/>
      <c r="G26" s="90"/>
      <c r="H26" s="91"/>
      <c r="I26" s="74"/>
      <c r="J26" s="60"/>
      <c r="K26" s="74"/>
      <c r="L26" s="61" t="str">
        <f t="shared" si="2"/>
        <v/>
      </c>
      <c r="M26" s="58"/>
      <c r="N26" s="63"/>
      <c r="O26" s="64"/>
      <c r="P26" s="61" t="str">
        <f t="shared" si="3"/>
        <v/>
      </c>
      <c r="Q26" s="61" t="str">
        <f t="shared" si="4"/>
        <v/>
      </c>
      <c r="R26" s="66"/>
      <c r="S26" s="66" t="str">
        <f t="shared" si="5"/>
        <v/>
      </c>
      <c r="T26" s="70"/>
      <c r="U26" s="93"/>
      <c r="V26" s="93"/>
      <c r="W26" s="93"/>
      <c r="X26" s="93"/>
      <c r="Y26" s="94"/>
      <c r="Z26" s="68" t="str">
        <f t="shared" si="1"/>
        <v/>
      </c>
      <c r="AA26" s="72"/>
      <c r="AB26" s="5"/>
      <c r="AC26" s="5"/>
    </row>
    <row r="27" ht="18.0" customHeight="1">
      <c r="A27" s="75"/>
      <c r="B27" s="84" t="s">
        <v>39</v>
      </c>
      <c r="C27" s="92" t="s">
        <v>35</v>
      </c>
      <c r="D27" s="78"/>
      <c r="E27" s="63"/>
      <c r="F27" s="58"/>
      <c r="G27" s="90"/>
      <c r="H27" s="91"/>
      <c r="I27" s="74"/>
      <c r="J27" s="60"/>
      <c r="K27" s="74"/>
      <c r="L27" s="61" t="str">
        <f t="shared" si="2"/>
        <v/>
      </c>
      <c r="M27" s="58"/>
      <c r="N27" s="63"/>
      <c r="O27" s="64"/>
      <c r="P27" s="61" t="str">
        <f t="shared" si="3"/>
        <v/>
      </c>
      <c r="Q27" s="61" t="str">
        <f t="shared" si="4"/>
        <v/>
      </c>
      <c r="R27" s="66"/>
      <c r="S27" s="66" t="str">
        <f t="shared" si="5"/>
        <v/>
      </c>
      <c r="T27" s="70"/>
      <c r="U27" s="93"/>
      <c r="V27" s="93"/>
      <c r="W27" s="93"/>
      <c r="X27" s="93"/>
      <c r="Y27" s="94"/>
      <c r="Z27" s="68" t="str">
        <f t="shared" si="1"/>
        <v/>
      </c>
      <c r="AA27" s="95"/>
      <c r="AB27" s="5"/>
      <c r="AC27" s="5"/>
    </row>
    <row r="28" ht="18.0" customHeight="1">
      <c r="A28" s="75"/>
      <c r="B28" s="86">
        <f>SUM(B22,B25)</f>
        <v>52</v>
      </c>
      <c r="C28" s="87">
        <f>IF(B10=0,1,($B$25/$B$10)*-1)</f>
        <v>0.01382488479</v>
      </c>
      <c r="D28" s="78"/>
      <c r="E28" s="63"/>
      <c r="F28" s="58"/>
      <c r="G28" s="90"/>
      <c r="H28" s="91"/>
      <c r="I28" s="74"/>
      <c r="J28" s="60"/>
      <c r="K28" s="74"/>
      <c r="L28" s="61" t="str">
        <f t="shared" si="2"/>
        <v/>
      </c>
      <c r="M28" s="58"/>
      <c r="N28" s="63"/>
      <c r="O28" s="64"/>
      <c r="P28" s="61" t="str">
        <f t="shared" si="3"/>
        <v/>
      </c>
      <c r="Q28" s="61" t="str">
        <f t="shared" si="4"/>
        <v/>
      </c>
      <c r="R28" s="66"/>
      <c r="S28" s="66" t="str">
        <f t="shared" si="5"/>
        <v/>
      </c>
      <c r="T28" s="70"/>
      <c r="U28" s="93"/>
      <c r="V28" s="93"/>
      <c r="W28" s="93"/>
      <c r="X28" s="93"/>
      <c r="Y28" s="94"/>
      <c r="Z28" s="68" t="str">
        <f t="shared" si="1"/>
        <v/>
      </c>
      <c r="AA28" s="95"/>
      <c r="AB28" s="5"/>
      <c r="AC28" s="5"/>
    </row>
    <row r="29" ht="18.0" customHeight="1">
      <c r="A29" s="75"/>
      <c r="B29" s="88"/>
      <c r="C29" s="88"/>
      <c r="D29" s="78"/>
      <c r="E29" s="63"/>
      <c r="F29" s="58"/>
      <c r="G29" s="90"/>
      <c r="H29" s="91"/>
      <c r="I29" s="74"/>
      <c r="J29" s="60"/>
      <c r="K29" s="74"/>
      <c r="L29" s="61" t="str">
        <f t="shared" si="2"/>
        <v/>
      </c>
      <c r="M29" s="58"/>
      <c r="N29" s="63"/>
      <c r="O29" s="64"/>
      <c r="P29" s="61" t="str">
        <f t="shared" si="3"/>
        <v/>
      </c>
      <c r="Q29" s="61" t="str">
        <f t="shared" si="4"/>
        <v/>
      </c>
      <c r="R29" s="66"/>
      <c r="S29" s="66" t="str">
        <f t="shared" si="5"/>
        <v/>
      </c>
      <c r="T29" s="70"/>
      <c r="U29" s="93"/>
      <c r="V29" s="93"/>
      <c r="W29" s="93"/>
      <c r="X29" s="93"/>
      <c r="Y29" s="94"/>
      <c r="Z29" s="68" t="str">
        <f t="shared" si="1"/>
        <v/>
      </c>
      <c r="AA29" s="95"/>
      <c r="AB29" s="5"/>
      <c r="AC29" s="5"/>
    </row>
    <row r="30" ht="18.0" customHeight="1">
      <c r="A30" s="75"/>
      <c r="B30" s="96" t="s">
        <v>40</v>
      </c>
      <c r="C30" s="51" t="s">
        <v>41</v>
      </c>
      <c r="D30" s="78"/>
      <c r="E30" s="63"/>
      <c r="F30" s="58"/>
      <c r="G30" s="90"/>
      <c r="H30" s="91"/>
      <c r="I30" s="74"/>
      <c r="J30" s="60"/>
      <c r="K30" s="74"/>
      <c r="L30" s="61" t="str">
        <f t="shared" si="2"/>
        <v/>
      </c>
      <c r="M30" s="58"/>
      <c r="N30" s="63"/>
      <c r="O30" s="64"/>
      <c r="P30" s="61" t="str">
        <f t="shared" si="3"/>
        <v/>
      </c>
      <c r="Q30" s="61" t="str">
        <f t="shared" si="4"/>
        <v/>
      </c>
      <c r="R30" s="66"/>
      <c r="S30" s="66" t="str">
        <f t="shared" si="5"/>
        <v/>
      </c>
      <c r="T30" s="70"/>
      <c r="U30" s="93"/>
      <c r="V30" s="93"/>
      <c r="W30" s="93"/>
      <c r="X30" s="93"/>
      <c r="Y30" s="94"/>
      <c r="Z30" s="68" t="str">
        <f t="shared" si="1"/>
        <v/>
      </c>
      <c r="AA30" s="72"/>
      <c r="AB30" s="5"/>
      <c r="AC30" s="5"/>
    </row>
    <row r="31" ht="18.0" customHeight="1">
      <c r="A31" s="75"/>
      <c r="B31" s="97">
        <f t="array" ref="B31">LOOKUP(2,1/(J:J&lt;&gt;""),J:J)</f>
        <v>1</v>
      </c>
      <c r="C31" s="98">
        <f t="array" ref="C31">LOOKUP(2,1/(I:I&lt;&gt;""),I:I)</f>
        <v>33</v>
      </c>
      <c r="D31" s="78"/>
      <c r="E31" s="63"/>
      <c r="F31" s="58"/>
      <c r="G31" s="90"/>
      <c r="H31" s="91"/>
      <c r="I31" s="74"/>
      <c r="J31" s="60"/>
      <c r="K31" s="74"/>
      <c r="L31" s="61" t="str">
        <f t="shared" si="2"/>
        <v/>
      </c>
      <c r="M31" s="58"/>
      <c r="N31" s="63"/>
      <c r="O31" s="64"/>
      <c r="P31" s="61" t="str">
        <f t="shared" si="3"/>
        <v/>
      </c>
      <c r="Q31" s="61" t="str">
        <f t="shared" si="4"/>
        <v/>
      </c>
      <c r="R31" s="66"/>
      <c r="S31" s="66" t="str">
        <f t="shared" si="5"/>
        <v/>
      </c>
      <c r="T31" s="70"/>
      <c r="U31" s="93"/>
      <c r="V31" s="93"/>
      <c r="W31" s="93"/>
      <c r="X31" s="93"/>
      <c r="Y31" s="94"/>
      <c r="Z31" s="68" t="str">
        <f t="shared" si="1"/>
        <v/>
      </c>
      <c r="AA31" s="72"/>
      <c r="AB31" s="5"/>
      <c r="AC31" s="5"/>
    </row>
    <row r="32" ht="18.0" customHeight="1">
      <c r="A32" s="99"/>
      <c r="B32" s="100"/>
      <c r="C32" s="100"/>
      <c r="D32" s="101"/>
      <c r="E32" s="63"/>
      <c r="F32" s="58"/>
      <c r="G32" s="90"/>
      <c r="H32" s="91"/>
      <c r="I32" s="74"/>
      <c r="J32" s="60"/>
      <c r="K32" s="74"/>
      <c r="L32" s="61" t="str">
        <f t="shared" si="2"/>
        <v/>
      </c>
      <c r="M32" s="58"/>
      <c r="N32" s="63"/>
      <c r="O32" s="64"/>
      <c r="P32" s="61" t="str">
        <f t="shared" si="3"/>
        <v/>
      </c>
      <c r="Q32" s="61" t="str">
        <f t="shared" si="4"/>
        <v/>
      </c>
      <c r="R32" s="66"/>
      <c r="S32" s="66" t="str">
        <f t="shared" si="5"/>
        <v/>
      </c>
      <c r="T32" s="70"/>
      <c r="U32" s="93"/>
      <c r="V32" s="93"/>
      <c r="W32" s="93"/>
      <c r="X32" s="93"/>
      <c r="Y32" s="94"/>
      <c r="Z32" s="68"/>
      <c r="AA32" s="72"/>
      <c r="AB32" s="5"/>
      <c r="AC32" s="5"/>
    </row>
    <row r="33" ht="18.0" customHeight="1">
      <c r="A33" s="102"/>
      <c r="B33" s="103"/>
      <c r="C33" s="103"/>
      <c r="D33" s="103"/>
      <c r="E33" s="104"/>
      <c r="F33" s="105"/>
      <c r="G33" s="105"/>
      <c r="H33" s="104"/>
      <c r="I33" s="105"/>
      <c r="J33" s="105"/>
      <c r="K33" s="105"/>
      <c r="L33" s="106"/>
      <c r="M33" s="106"/>
      <c r="N33" s="106"/>
      <c r="O33" s="106"/>
      <c r="P33" s="106"/>
      <c r="Q33" s="106"/>
      <c r="R33" s="106"/>
      <c r="S33" s="106"/>
      <c r="T33" s="103"/>
      <c r="U33" s="107"/>
      <c r="V33" s="107"/>
      <c r="W33" s="107"/>
      <c r="X33" s="107"/>
      <c r="Y33" s="107"/>
      <c r="Z33" s="107"/>
      <c r="AA33" s="108"/>
      <c r="AB33" s="5"/>
      <c r="AC33" s="5"/>
    </row>
    <row r="34" ht="18.0" customHeight="1">
      <c r="A34" s="109"/>
      <c r="B34" s="110"/>
      <c r="C34" s="111"/>
      <c r="D34" s="112"/>
      <c r="E34" s="113"/>
      <c r="F34" s="114"/>
      <c r="G34" s="114"/>
      <c r="H34" s="113"/>
      <c r="I34" s="114"/>
      <c r="J34" s="114"/>
      <c r="K34" s="114"/>
      <c r="L34" s="110"/>
      <c r="M34" s="110"/>
      <c r="N34" s="110"/>
      <c r="O34" s="110"/>
      <c r="P34" s="110"/>
      <c r="Q34" s="110"/>
      <c r="R34" s="110"/>
      <c r="S34" s="110"/>
      <c r="T34" s="112"/>
      <c r="U34" s="5"/>
      <c r="V34" s="5"/>
      <c r="W34" s="5"/>
      <c r="X34" s="5"/>
      <c r="Y34" s="5"/>
      <c r="Z34" s="5"/>
      <c r="AA34" s="112"/>
      <c r="AB34" s="5"/>
      <c r="AC34" s="5"/>
    </row>
    <row r="35" ht="18.0" customHeight="1">
      <c r="A35" s="109"/>
      <c r="B35" s="110"/>
      <c r="C35" s="111"/>
      <c r="D35" s="112"/>
      <c r="E35" s="113"/>
      <c r="F35" s="115"/>
      <c r="G35" s="115"/>
      <c r="H35" s="113"/>
      <c r="I35" s="115"/>
      <c r="J35" s="115"/>
      <c r="K35" s="115"/>
      <c r="L35" s="110"/>
      <c r="M35" s="110"/>
      <c r="N35" s="110"/>
      <c r="O35" s="110"/>
      <c r="P35" s="110"/>
      <c r="Q35" s="110"/>
      <c r="R35" s="110"/>
      <c r="S35" s="110"/>
      <c r="T35" s="112"/>
      <c r="U35" s="5"/>
      <c r="V35" s="5"/>
      <c r="W35" s="5"/>
      <c r="X35" s="5"/>
      <c r="Y35" s="5"/>
      <c r="Z35" s="5"/>
      <c r="AA35" s="112"/>
      <c r="AB35" s="5"/>
      <c r="AC35" s="5"/>
    </row>
    <row r="36" ht="18.0" customHeight="1">
      <c r="A36" s="109"/>
      <c r="B36" s="110"/>
      <c r="C36" s="111"/>
      <c r="D36" s="112"/>
      <c r="E36" s="113"/>
      <c r="F36" s="114"/>
      <c r="G36" s="114"/>
      <c r="H36" s="113"/>
      <c r="I36" s="114"/>
      <c r="J36" s="114"/>
      <c r="K36" s="114"/>
      <c r="L36" s="110"/>
      <c r="M36" s="110"/>
      <c r="N36" s="110"/>
      <c r="O36" s="110"/>
      <c r="P36" s="110"/>
      <c r="Q36" s="110"/>
      <c r="R36" s="110"/>
      <c r="S36" s="110"/>
      <c r="T36" s="112"/>
      <c r="U36" s="5"/>
      <c r="V36" s="5"/>
      <c r="W36" s="5"/>
      <c r="X36" s="5"/>
      <c r="Y36" s="5"/>
      <c r="Z36" s="5"/>
      <c r="AA36" s="112"/>
      <c r="AB36" s="5"/>
      <c r="AC36" s="5"/>
    </row>
    <row r="37" ht="18.0" customHeight="1">
      <c r="A37" s="109"/>
      <c r="B37" s="110"/>
      <c r="C37" s="111"/>
      <c r="D37" s="112"/>
      <c r="E37" s="113"/>
      <c r="F37" s="114"/>
      <c r="G37" s="114"/>
      <c r="H37" s="113"/>
      <c r="I37" s="114"/>
      <c r="J37" s="114"/>
      <c r="K37" s="114"/>
      <c r="L37" s="110"/>
      <c r="M37" s="110"/>
      <c r="N37" s="110"/>
      <c r="O37" s="110"/>
      <c r="P37" s="110"/>
      <c r="Q37" s="110"/>
      <c r="R37" s="110"/>
      <c r="S37" s="110"/>
      <c r="T37" s="112"/>
      <c r="U37" s="5"/>
      <c r="V37" s="5"/>
      <c r="W37" s="5"/>
      <c r="X37" s="5"/>
      <c r="Y37" s="5"/>
      <c r="Z37" s="5"/>
      <c r="AA37" s="112"/>
      <c r="AB37" s="5"/>
      <c r="AC37" s="5"/>
    </row>
    <row r="38" ht="18.0" customHeight="1">
      <c r="A38" s="109"/>
      <c r="B38" s="110"/>
      <c r="C38" s="111"/>
      <c r="D38" s="112"/>
      <c r="E38" s="113"/>
      <c r="F38" s="114"/>
      <c r="G38" s="114"/>
      <c r="H38" s="113"/>
      <c r="I38" s="114"/>
      <c r="J38" s="114"/>
      <c r="K38" s="114"/>
      <c r="L38" s="110"/>
      <c r="M38" s="110"/>
      <c r="N38" s="110"/>
      <c r="O38" s="110"/>
      <c r="P38" s="110"/>
      <c r="Q38" s="110"/>
      <c r="R38" s="110"/>
      <c r="S38" s="110"/>
      <c r="T38" s="112"/>
      <c r="U38" s="5"/>
      <c r="V38" s="5"/>
      <c r="W38" s="5"/>
      <c r="X38" s="5"/>
      <c r="Y38" s="5"/>
      <c r="Z38" s="5"/>
      <c r="AA38" s="112"/>
      <c r="AB38" s="5"/>
      <c r="AC38" s="5"/>
    </row>
    <row r="39" ht="18.0" customHeight="1">
      <c r="A39" s="109"/>
      <c r="B39" s="110"/>
      <c r="C39" s="111"/>
      <c r="D39" s="112"/>
      <c r="E39" s="113"/>
      <c r="F39" s="114"/>
      <c r="G39" s="114"/>
      <c r="H39" s="113"/>
      <c r="I39" s="114"/>
      <c r="J39" s="114"/>
      <c r="K39" s="114"/>
      <c r="L39" s="110"/>
      <c r="M39" s="110"/>
      <c r="N39" s="110"/>
      <c r="O39" s="110"/>
      <c r="P39" s="110"/>
      <c r="Q39" s="110"/>
      <c r="R39" s="110"/>
      <c r="S39" s="110"/>
      <c r="T39" s="112"/>
      <c r="U39" s="5"/>
      <c r="V39" s="5"/>
      <c r="W39" s="5"/>
      <c r="X39" s="5"/>
      <c r="Y39" s="5"/>
      <c r="Z39" s="5"/>
      <c r="AA39" s="112"/>
      <c r="AB39" s="5"/>
      <c r="AC39" s="5"/>
    </row>
    <row r="40" ht="18.0" customHeight="1">
      <c r="A40" s="109"/>
      <c r="B40" s="110"/>
      <c r="C40" s="111"/>
      <c r="D40" s="112"/>
      <c r="E40" s="113"/>
      <c r="F40" s="114"/>
      <c r="G40" s="114"/>
      <c r="H40" s="113"/>
      <c r="I40" s="114"/>
      <c r="J40" s="114"/>
      <c r="K40" s="114"/>
      <c r="L40" s="110"/>
      <c r="M40" s="110"/>
      <c r="N40" s="110"/>
      <c r="O40" s="110"/>
      <c r="P40" s="110"/>
      <c r="Q40" s="110"/>
      <c r="R40" s="110"/>
      <c r="S40" s="110"/>
      <c r="T40" s="112"/>
      <c r="U40" s="5"/>
      <c r="V40" s="5"/>
      <c r="W40" s="5"/>
      <c r="X40" s="5"/>
      <c r="Y40" s="5"/>
      <c r="Z40" s="5"/>
      <c r="AA40" s="112"/>
      <c r="AB40" s="5"/>
      <c r="AC40" s="5"/>
    </row>
    <row r="41" ht="18.0" customHeight="1">
      <c r="A41" s="109"/>
      <c r="B41" s="110"/>
      <c r="C41" s="111"/>
      <c r="D41" s="112"/>
      <c r="E41" s="113"/>
      <c r="F41" s="114"/>
      <c r="G41" s="114"/>
      <c r="H41" s="113"/>
      <c r="I41" s="114"/>
      <c r="J41" s="114"/>
      <c r="K41" s="114"/>
      <c r="L41" s="110"/>
      <c r="M41" s="110"/>
      <c r="N41" s="110"/>
      <c r="O41" s="110"/>
      <c r="P41" s="110"/>
      <c r="Q41" s="110"/>
      <c r="R41" s="110"/>
      <c r="S41" s="110"/>
      <c r="T41" s="112"/>
      <c r="U41" s="5"/>
      <c r="V41" s="5"/>
      <c r="W41" s="5"/>
      <c r="X41" s="5"/>
      <c r="Y41" s="5"/>
      <c r="Z41" s="5"/>
      <c r="AA41" s="112"/>
      <c r="AB41" s="5"/>
      <c r="AC41" s="5"/>
    </row>
    <row r="42" ht="18.0" customHeight="1">
      <c r="A42" s="109"/>
      <c r="B42" s="110"/>
      <c r="C42" s="111"/>
      <c r="D42" s="112"/>
      <c r="E42" s="113"/>
      <c r="F42" s="114"/>
      <c r="G42" s="114"/>
      <c r="H42" s="113"/>
      <c r="I42" s="114"/>
      <c r="J42" s="114"/>
      <c r="K42" s="114"/>
      <c r="L42" s="110"/>
      <c r="M42" s="110"/>
      <c r="N42" s="110"/>
      <c r="O42" s="110"/>
      <c r="P42" s="110"/>
      <c r="Q42" s="110"/>
      <c r="R42" s="110"/>
      <c r="S42" s="110"/>
      <c r="T42" s="112"/>
      <c r="U42" s="5"/>
      <c r="V42" s="5"/>
      <c r="W42" s="5"/>
      <c r="X42" s="5"/>
      <c r="Y42" s="5"/>
      <c r="Z42" s="5"/>
      <c r="AA42" s="112"/>
      <c r="AB42" s="5"/>
      <c r="AC42" s="5"/>
    </row>
    <row r="43" ht="18.0" customHeight="1">
      <c r="A43" s="109"/>
      <c r="B43" s="110"/>
      <c r="C43" s="111"/>
      <c r="D43" s="112"/>
      <c r="E43" s="113"/>
      <c r="F43" s="114"/>
      <c r="G43" s="114"/>
      <c r="H43" s="113"/>
      <c r="I43" s="114"/>
      <c r="J43" s="114"/>
      <c r="K43" s="114"/>
      <c r="L43" s="110"/>
      <c r="M43" s="110"/>
      <c r="N43" s="110"/>
      <c r="O43" s="110"/>
      <c r="P43" s="110"/>
      <c r="Q43" s="110"/>
      <c r="R43" s="110"/>
      <c r="S43" s="110"/>
      <c r="T43" s="112"/>
      <c r="U43" s="5"/>
      <c r="V43" s="5"/>
      <c r="W43" s="5"/>
      <c r="X43" s="5"/>
      <c r="Y43" s="5"/>
      <c r="Z43" s="5"/>
      <c r="AA43" s="112"/>
      <c r="AB43" s="5"/>
      <c r="AC43" s="5"/>
    </row>
    <row r="44" ht="18.0" customHeight="1">
      <c r="A44" s="109"/>
      <c r="B44" s="110"/>
      <c r="C44" s="111"/>
      <c r="D44" s="112"/>
      <c r="E44" s="113"/>
      <c r="F44" s="114"/>
      <c r="G44" s="114"/>
      <c r="H44" s="113"/>
      <c r="I44" s="114"/>
      <c r="J44" s="114"/>
      <c r="K44" s="114"/>
      <c r="L44" s="110"/>
      <c r="M44" s="110"/>
      <c r="N44" s="110"/>
      <c r="O44" s="110"/>
      <c r="P44" s="110"/>
      <c r="Q44" s="110"/>
      <c r="R44" s="110"/>
      <c r="S44" s="110"/>
      <c r="T44" s="112"/>
      <c r="U44" s="5"/>
      <c r="V44" s="5"/>
      <c r="W44" s="5"/>
      <c r="X44" s="5"/>
      <c r="Y44" s="5"/>
      <c r="Z44" s="5"/>
      <c r="AA44" s="112"/>
      <c r="AB44" s="5"/>
      <c r="AC44" s="5"/>
    </row>
    <row r="45" ht="18.0" customHeight="1">
      <c r="A45" s="109"/>
      <c r="B45" s="110"/>
      <c r="C45" s="111"/>
      <c r="D45" s="112"/>
      <c r="E45" s="113"/>
      <c r="F45" s="114"/>
      <c r="G45" s="114"/>
      <c r="H45" s="113"/>
      <c r="I45" s="114"/>
      <c r="J45" s="114"/>
      <c r="K45" s="114"/>
      <c r="L45" s="110"/>
      <c r="M45" s="110"/>
      <c r="N45" s="110"/>
      <c r="O45" s="110"/>
      <c r="P45" s="110"/>
      <c r="Q45" s="110"/>
      <c r="R45" s="110"/>
      <c r="S45" s="110"/>
      <c r="T45" s="112"/>
      <c r="U45" s="5"/>
      <c r="V45" s="5"/>
      <c r="W45" s="5"/>
      <c r="X45" s="5"/>
      <c r="Y45" s="5"/>
      <c r="Z45" s="5"/>
      <c r="AA45" s="112"/>
      <c r="AB45" s="5"/>
      <c r="AC45" s="5"/>
    </row>
    <row r="46" ht="18.0" customHeight="1">
      <c r="A46" s="109"/>
      <c r="B46" s="110"/>
      <c r="C46" s="111"/>
      <c r="D46" s="112"/>
      <c r="E46" s="113"/>
      <c r="F46" s="114"/>
      <c r="G46" s="114"/>
      <c r="H46" s="113"/>
      <c r="I46" s="114"/>
      <c r="J46" s="114"/>
      <c r="K46" s="114"/>
      <c r="L46" s="110"/>
      <c r="M46" s="110"/>
      <c r="N46" s="110"/>
      <c r="O46" s="110"/>
      <c r="P46" s="110"/>
      <c r="Q46" s="110"/>
      <c r="R46" s="110"/>
      <c r="S46" s="110"/>
      <c r="T46" s="112"/>
      <c r="U46" s="5"/>
      <c r="V46" s="5"/>
      <c r="W46" s="5"/>
      <c r="X46" s="5"/>
      <c r="Y46" s="5"/>
      <c r="Z46" s="5"/>
      <c r="AA46" s="112"/>
      <c r="AB46" s="5"/>
      <c r="AC46" s="5"/>
    </row>
    <row r="47" ht="18.0" customHeight="1">
      <c r="A47" s="109"/>
      <c r="B47" s="110"/>
      <c r="C47" s="111"/>
      <c r="D47" s="112"/>
      <c r="E47" s="113"/>
      <c r="F47" s="114"/>
      <c r="G47" s="114"/>
      <c r="H47" s="113"/>
      <c r="I47" s="114"/>
      <c r="J47" s="114"/>
      <c r="K47" s="114"/>
      <c r="L47" s="110"/>
      <c r="M47" s="110"/>
      <c r="N47" s="110"/>
      <c r="O47" s="110"/>
      <c r="P47" s="110"/>
      <c r="Q47" s="110"/>
      <c r="R47" s="110"/>
      <c r="S47" s="110"/>
      <c r="T47" s="112"/>
      <c r="U47" s="5"/>
      <c r="V47" s="5"/>
      <c r="W47" s="5"/>
      <c r="X47" s="5"/>
      <c r="Y47" s="5"/>
      <c r="Z47" s="5"/>
      <c r="AA47" s="112"/>
      <c r="AB47" s="5"/>
      <c r="AC47" s="5"/>
    </row>
    <row r="48" ht="18.0" customHeight="1">
      <c r="A48" s="109"/>
      <c r="B48" s="110"/>
      <c r="C48" s="111"/>
      <c r="D48" s="112"/>
      <c r="E48" s="113"/>
      <c r="F48" s="114"/>
      <c r="G48" s="114"/>
      <c r="H48" s="113"/>
      <c r="I48" s="114"/>
      <c r="J48" s="114"/>
      <c r="K48" s="114"/>
      <c r="L48" s="110"/>
      <c r="M48" s="110"/>
      <c r="N48" s="110"/>
      <c r="O48" s="110"/>
      <c r="P48" s="110"/>
      <c r="Q48" s="110"/>
      <c r="R48" s="110"/>
      <c r="S48" s="110"/>
      <c r="T48" s="112"/>
      <c r="U48" s="5"/>
      <c r="V48" s="5"/>
      <c r="W48" s="5"/>
      <c r="X48" s="5"/>
      <c r="Y48" s="5"/>
      <c r="Z48" s="5"/>
      <c r="AA48" s="112"/>
      <c r="AB48" s="5"/>
      <c r="AC48" s="5"/>
    </row>
    <row r="49" ht="18.0" customHeight="1">
      <c r="A49" s="109"/>
      <c r="B49" s="110"/>
      <c r="C49" s="111"/>
      <c r="D49" s="112"/>
      <c r="E49" s="113"/>
      <c r="F49" s="114"/>
      <c r="G49" s="114"/>
      <c r="H49" s="113"/>
      <c r="I49" s="114"/>
      <c r="J49" s="114"/>
      <c r="K49" s="114"/>
      <c r="L49" s="110"/>
      <c r="M49" s="110"/>
      <c r="N49" s="110"/>
      <c r="O49" s="110"/>
      <c r="P49" s="110"/>
      <c r="Q49" s="110"/>
      <c r="R49" s="110"/>
      <c r="S49" s="110"/>
      <c r="T49" s="112"/>
      <c r="U49" s="5"/>
      <c r="V49" s="5"/>
      <c r="W49" s="5"/>
      <c r="X49" s="5"/>
      <c r="Y49" s="5"/>
      <c r="Z49" s="5"/>
      <c r="AA49" s="112"/>
      <c r="AB49" s="5"/>
      <c r="AC49" s="5"/>
    </row>
    <row r="50" ht="18.0" customHeight="1">
      <c r="A50" s="109"/>
      <c r="B50" s="110"/>
      <c r="C50" s="111"/>
      <c r="D50" s="112"/>
      <c r="E50" s="113"/>
      <c r="F50" s="114"/>
      <c r="G50" s="114"/>
      <c r="H50" s="113"/>
      <c r="I50" s="114"/>
      <c r="J50" s="114"/>
      <c r="K50" s="114"/>
      <c r="L50" s="110"/>
      <c r="M50" s="110"/>
      <c r="N50" s="110"/>
      <c r="O50" s="110"/>
      <c r="P50" s="110"/>
      <c r="Q50" s="110"/>
      <c r="R50" s="110"/>
      <c r="S50" s="110"/>
      <c r="T50" s="112"/>
      <c r="U50" s="5"/>
      <c r="V50" s="5"/>
      <c r="W50" s="5"/>
      <c r="X50" s="5"/>
      <c r="Y50" s="5"/>
      <c r="Z50" s="5"/>
      <c r="AA50" s="112"/>
      <c r="AB50" s="5"/>
      <c r="AC50" s="5"/>
    </row>
    <row r="51" ht="18.0" customHeight="1">
      <c r="A51" s="109"/>
      <c r="B51" s="110"/>
      <c r="C51" s="111"/>
      <c r="D51" s="112"/>
      <c r="E51" s="113"/>
      <c r="F51" s="114"/>
      <c r="G51" s="114"/>
      <c r="H51" s="113"/>
      <c r="I51" s="114"/>
      <c r="J51" s="114"/>
      <c r="K51" s="114"/>
      <c r="L51" s="110"/>
      <c r="M51" s="110"/>
      <c r="N51" s="110"/>
      <c r="O51" s="110"/>
      <c r="P51" s="110"/>
      <c r="Q51" s="110"/>
      <c r="R51" s="110"/>
      <c r="S51" s="110"/>
      <c r="T51" s="112"/>
      <c r="U51" s="5"/>
      <c r="V51" s="5"/>
      <c r="W51" s="5"/>
      <c r="X51" s="5"/>
      <c r="Y51" s="5"/>
      <c r="Z51" s="5"/>
      <c r="AA51" s="112"/>
      <c r="AB51" s="5"/>
      <c r="AC51" s="5"/>
    </row>
    <row r="52" ht="18.0" customHeight="1">
      <c r="A52" s="109"/>
      <c r="B52" s="110"/>
      <c r="C52" s="111"/>
      <c r="D52" s="112"/>
      <c r="E52" s="113"/>
      <c r="F52" s="114"/>
      <c r="G52" s="114"/>
      <c r="H52" s="113"/>
      <c r="I52" s="114"/>
      <c r="J52" s="114"/>
      <c r="K52" s="114"/>
      <c r="L52" s="110"/>
      <c r="M52" s="110"/>
      <c r="N52" s="110"/>
      <c r="O52" s="110"/>
      <c r="P52" s="110"/>
      <c r="Q52" s="110"/>
      <c r="R52" s="110"/>
      <c r="S52" s="110"/>
      <c r="T52" s="112"/>
      <c r="U52" s="5"/>
      <c r="V52" s="5"/>
      <c r="W52" s="5"/>
      <c r="X52" s="5"/>
      <c r="Y52" s="5"/>
      <c r="Z52" s="5"/>
      <c r="AA52" s="112"/>
      <c r="AB52" s="5"/>
      <c r="AC52" s="5"/>
    </row>
    <row r="53" ht="18.0" customHeight="1">
      <c r="A53" s="109"/>
      <c r="B53" s="110"/>
      <c r="C53" s="111"/>
      <c r="D53" s="112"/>
      <c r="E53" s="113"/>
      <c r="F53" s="114"/>
      <c r="G53" s="114"/>
      <c r="H53" s="113"/>
      <c r="I53" s="114"/>
      <c r="J53" s="114"/>
      <c r="K53" s="114"/>
      <c r="L53" s="110"/>
      <c r="M53" s="110"/>
      <c r="N53" s="110"/>
      <c r="O53" s="110"/>
      <c r="P53" s="110"/>
      <c r="Q53" s="110"/>
      <c r="R53" s="110"/>
      <c r="S53" s="110"/>
      <c r="T53" s="112"/>
      <c r="U53" s="5"/>
      <c r="V53" s="5"/>
      <c r="W53" s="5"/>
      <c r="X53" s="5"/>
      <c r="Y53" s="5"/>
      <c r="Z53" s="5"/>
      <c r="AA53" s="112"/>
      <c r="AB53" s="5"/>
      <c r="AC53" s="5"/>
    </row>
    <row r="54" ht="18.0" customHeight="1">
      <c r="A54" s="109"/>
      <c r="B54" s="110"/>
      <c r="C54" s="111"/>
      <c r="D54" s="112"/>
      <c r="E54" s="113"/>
      <c r="F54" s="114"/>
      <c r="G54" s="114"/>
      <c r="H54" s="113"/>
      <c r="I54" s="114"/>
      <c r="J54" s="114"/>
      <c r="K54" s="114"/>
      <c r="L54" s="110"/>
      <c r="M54" s="110"/>
      <c r="N54" s="110"/>
      <c r="O54" s="110"/>
      <c r="P54" s="110"/>
      <c r="Q54" s="110"/>
      <c r="R54" s="110"/>
      <c r="S54" s="110"/>
      <c r="T54" s="112"/>
      <c r="U54" s="5"/>
      <c r="V54" s="5"/>
      <c r="W54" s="5"/>
      <c r="X54" s="5"/>
      <c r="Y54" s="5"/>
      <c r="Z54" s="5"/>
      <c r="AA54" s="112"/>
      <c r="AB54" s="5"/>
      <c r="AC54" s="5"/>
    </row>
    <row r="55" ht="18.0" customHeight="1">
      <c r="A55" s="109"/>
      <c r="B55" s="110"/>
      <c r="C55" s="111"/>
      <c r="D55" s="112"/>
      <c r="E55" s="113"/>
      <c r="F55" s="114"/>
      <c r="G55" s="114"/>
      <c r="H55" s="113"/>
      <c r="I55" s="114"/>
      <c r="J55" s="114"/>
      <c r="K55" s="114"/>
      <c r="L55" s="110"/>
      <c r="M55" s="110"/>
      <c r="N55" s="110"/>
      <c r="O55" s="110"/>
      <c r="P55" s="110"/>
      <c r="Q55" s="110"/>
      <c r="R55" s="110"/>
      <c r="S55" s="110"/>
      <c r="T55" s="112"/>
      <c r="U55" s="5"/>
      <c r="V55" s="5"/>
      <c r="W55" s="5"/>
      <c r="X55" s="5"/>
      <c r="Y55" s="5"/>
      <c r="Z55" s="5"/>
      <c r="AA55" s="112"/>
      <c r="AB55" s="5"/>
      <c r="AC55" s="5"/>
    </row>
    <row r="56" ht="18.0" customHeight="1">
      <c r="A56" s="109"/>
      <c r="B56" s="110"/>
      <c r="C56" s="111"/>
      <c r="D56" s="112"/>
      <c r="E56" s="113"/>
      <c r="F56" s="114"/>
      <c r="G56" s="114"/>
      <c r="H56" s="113"/>
      <c r="I56" s="114"/>
      <c r="J56" s="114"/>
      <c r="K56" s="114"/>
      <c r="L56" s="110"/>
      <c r="M56" s="110"/>
      <c r="N56" s="110"/>
      <c r="O56" s="110"/>
      <c r="P56" s="110"/>
      <c r="Q56" s="110"/>
      <c r="R56" s="110"/>
      <c r="S56" s="110"/>
      <c r="T56" s="112"/>
      <c r="U56" s="5"/>
      <c r="V56" s="5"/>
      <c r="W56" s="5"/>
      <c r="X56" s="5"/>
      <c r="Y56" s="5"/>
      <c r="Z56" s="5"/>
      <c r="AA56" s="112"/>
      <c r="AB56" s="5"/>
      <c r="AC56" s="5"/>
    </row>
    <row r="57" ht="18.0" customHeight="1">
      <c r="A57" s="109"/>
      <c r="B57" s="110"/>
      <c r="C57" s="111"/>
      <c r="D57" s="112"/>
      <c r="E57" s="113"/>
      <c r="F57" s="114"/>
      <c r="G57" s="114"/>
      <c r="H57" s="113"/>
      <c r="I57" s="114"/>
      <c r="J57" s="114"/>
      <c r="K57" s="114"/>
      <c r="L57" s="110"/>
      <c r="M57" s="110"/>
      <c r="N57" s="110"/>
      <c r="O57" s="110"/>
      <c r="P57" s="110"/>
      <c r="Q57" s="110"/>
      <c r="R57" s="110"/>
      <c r="S57" s="110"/>
      <c r="T57" s="112"/>
      <c r="U57" s="5"/>
      <c r="V57" s="5"/>
      <c r="W57" s="5"/>
      <c r="X57" s="5"/>
      <c r="Y57" s="5"/>
      <c r="Z57" s="5"/>
      <c r="AA57" s="112"/>
      <c r="AB57" s="5"/>
      <c r="AC57" s="5"/>
    </row>
    <row r="58" ht="18.0" customHeight="1">
      <c r="A58" s="109"/>
      <c r="B58" s="110"/>
      <c r="C58" s="111"/>
      <c r="D58" s="112"/>
      <c r="E58" s="113"/>
      <c r="F58" s="114"/>
      <c r="G58" s="114"/>
      <c r="H58" s="113"/>
      <c r="I58" s="114"/>
      <c r="J58" s="114"/>
      <c r="K58" s="114"/>
      <c r="L58" s="110"/>
      <c r="M58" s="110"/>
      <c r="N58" s="110"/>
      <c r="O58" s="110"/>
      <c r="P58" s="110"/>
      <c r="Q58" s="110"/>
      <c r="R58" s="110"/>
      <c r="S58" s="110"/>
      <c r="T58" s="112"/>
      <c r="U58" s="5"/>
      <c r="V58" s="5"/>
      <c r="W58" s="5"/>
      <c r="X58" s="5"/>
      <c r="Y58" s="5"/>
      <c r="Z58" s="5"/>
      <c r="AA58" s="112"/>
      <c r="AB58" s="5"/>
      <c r="AC58" s="5"/>
    </row>
    <row r="59" ht="18.0" customHeight="1">
      <c r="A59" s="109"/>
      <c r="B59" s="110"/>
      <c r="C59" s="111"/>
      <c r="D59" s="112"/>
      <c r="E59" s="113"/>
      <c r="F59" s="114"/>
      <c r="G59" s="114"/>
      <c r="H59" s="113"/>
      <c r="I59" s="114"/>
      <c r="J59" s="114"/>
      <c r="K59" s="114"/>
      <c r="L59" s="110"/>
      <c r="M59" s="110"/>
      <c r="N59" s="110"/>
      <c r="O59" s="110"/>
      <c r="P59" s="110"/>
      <c r="Q59" s="110"/>
      <c r="R59" s="110"/>
      <c r="S59" s="110"/>
      <c r="T59" s="112"/>
      <c r="U59" s="5"/>
      <c r="V59" s="5"/>
      <c r="W59" s="5"/>
      <c r="X59" s="5"/>
      <c r="Y59" s="5"/>
      <c r="Z59" s="5"/>
      <c r="AA59" s="112"/>
      <c r="AB59" s="5"/>
      <c r="AC59" s="5"/>
    </row>
    <row r="60" ht="18.0" customHeight="1">
      <c r="A60" s="109"/>
      <c r="B60" s="110"/>
      <c r="C60" s="111"/>
      <c r="D60" s="112"/>
      <c r="E60" s="113"/>
      <c r="F60" s="114"/>
      <c r="G60" s="114"/>
      <c r="H60" s="113"/>
      <c r="I60" s="114"/>
      <c r="J60" s="114"/>
      <c r="K60" s="114"/>
      <c r="L60" s="110"/>
      <c r="M60" s="110"/>
      <c r="N60" s="110"/>
      <c r="O60" s="110"/>
      <c r="P60" s="110"/>
      <c r="Q60" s="110"/>
      <c r="R60" s="110"/>
      <c r="S60" s="110"/>
      <c r="T60" s="112"/>
      <c r="U60" s="5"/>
      <c r="V60" s="5"/>
      <c r="W60" s="5"/>
      <c r="X60" s="5"/>
      <c r="Y60" s="5"/>
      <c r="Z60" s="5"/>
      <c r="AA60" s="112"/>
      <c r="AB60" s="5"/>
      <c r="AC60" s="5"/>
    </row>
    <row r="61" ht="18.0" customHeight="1">
      <c r="A61" s="109"/>
      <c r="B61" s="110"/>
      <c r="C61" s="111"/>
      <c r="D61" s="112"/>
      <c r="E61" s="113"/>
      <c r="F61" s="114"/>
      <c r="G61" s="114"/>
      <c r="H61" s="113"/>
      <c r="I61" s="114"/>
      <c r="J61" s="114"/>
      <c r="K61" s="114"/>
      <c r="L61" s="110"/>
      <c r="M61" s="110"/>
      <c r="N61" s="110"/>
      <c r="O61" s="110"/>
      <c r="P61" s="110"/>
      <c r="Q61" s="110"/>
      <c r="R61" s="110"/>
      <c r="S61" s="110"/>
      <c r="T61" s="112"/>
      <c r="U61" s="5"/>
      <c r="V61" s="5"/>
      <c r="W61" s="5"/>
      <c r="X61" s="5"/>
      <c r="Y61" s="5"/>
      <c r="Z61" s="5"/>
      <c r="AA61" s="112"/>
      <c r="AB61" s="5"/>
      <c r="AC61" s="5"/>
    </row>
    <row r="62" ht="18.0" customHeight="1">
      <c r="A62" s="109"/>
      <c r="B62" s="110"/>
      <c r="C62" s="111"/>
      <c r="D62" s="112"/>
      <c r="E62" s="113"/>
      <c r="F62" s="114"/>
      <c r="G62" s="114"/>
      <c r="H62" s="113"/>
      <c r="I62" s="114"/>
      <c r="J62" s="114"/>
      <c r="K62" s="114"/>
      <c r="L62" s="110"/>
      <c r="M62" s="110"/>
      <c r="N62" s="110"/>
      <c r="O62" s="110"/>
      <c r="P62" s="110"/>
      <c r="Q62" s="110"/>
      <c r="R62" s="110"/>
      <c r="S62" s="110"/>
      <c r="T62" s="112"/>
      <c r="U62" s="5"/>
      <c r="V62" s="5"/>
      <c r="W62" s="5"/>
      <c r="X62" s="5"/>
      <c r="Y62" s="5"/>
      <c r="Z62" s="5"/>
      <c r="AA62" s="112"/>
      <c r="AB62" s="5"/>
      <c r="AC62" s="5"/>
    </row>
    <row r="63" ht="18.0" customHeight="1">
      <c r="A63" s="109"/>
      <c r="B63" s="110"/>
      <c r="C63" s="111"/>
      <c r="D63" s="112"/>
      <c r="E63" s="113"/>
      <c r="F63" s="114"/>
      <c r="G63" s="114"/>
      <c r="H63" s="113"/>
      <c r="I63" s="114"/>
      <c r="J63" s="114"/>
      <c r="K63" s="114"/>
      <c r="L63" s="110"/>
      <c r="M63" s="110"/>
      <c r="N63" s="110"/>
      <c r="O63" s="110"/>
      <c r="P63" s="110"/>
      <c r="Q63" s="110"/>
      <c r="R63" s="110"/>
      <c r="S63" s="110"/>
      <c r="T63" s="112"/>
      <c r="U63" s="5"/>
      <c r="V63" s="5"/>
      <c r="W63" s="5"/>
      <c r="X63" s="5"/>
      <c r="Y63" s="5"/>
      <c r="Z63" s="5"/>
      <c r="AA63" s="112"/>
      <c r="AB63" s="5"/>
      <c r="AC63" s="5"/>
    </row>
    <row r="64" ht="18.0" customHeight="1">
      <c r="A64" s="109"/>
      <c r="B64" s="110"/>
      <c r="C64" s="111"/>
      <c r="D64" s="112"/>
      <c r="E64" s="113"/>
      <c r="F64" s="114"/>
      <c r="G64" s="114"/>
      <c r="H64" s="113"/>
      <c r="I64" s="114"/>
      <c r="J64" s="114"/>
      <c r="K64" s="114"/>
      <c r="L64" s="110"/>
      <c r="M64" s="110"/>
      <c r="N64" s="110"/>
      <c r="O64" s="110"/>
      <c r="P64" s="110"/>
      <c r="Q64" s="110"/>
      <c r="R64" s="110"/>
      <c r="S64" s="110"/>
      <c r="T64" s="112"/>
      <c r="U64" s="5"/>
      <c r="V64" s="5"/>
      <c r="W64" s="5"/>
      <c r="X64" s="5"/>
      <c r="Y64" s="5"/>
      <c r="Z64" s="5"/>
      <c r="AA64" s="112"/>
      <c r="AB64" s="5"/>
      <c r="AC64" s="5"/>
    </row>
    <row r="65" ht="18.0" customHeight="1">
      <c r="A65" s="109"/>
      <c r="B65" s="110"/>
      <c r="C65" s="111"/>
      <c r="D65" s="112"/>
      <c r="E65" s="113"/>
      <c r="F65" s="114"/>
      <c r="G65" s="114"/>
      <c r="H65" s="113"/>
      <c r="I65" s="114"/>
      <c r="J65" s="114"/>
      <c r="K65" s="114"/>
      <c r="L65" s="110"/>
      <c r="M65" s="110"/>
      <c r="N65" s="110"/>
      <c r="O65" s="110"/>
      <c r="P65" s="110"/>
      <c r="Q65" s="110"/>
      <c r="R65" s="110"/>
      <c r="S65" s="110"/>
      <c r="T65" s="112"/>
      <c r="U65" s="5"/>
      <c r="V65" s="5"/>
      <c r="W65" s="5"/>
      <c r="X65" s="5"/>
      <c r="Y65" s="5"/>
      <c r="Z65" s="5"/>
      <c r="AA65" s="112"/>
      <c r="AB65" s="5"/>
      <c r="AC65" s="5"/>
    </row>
    <row r="66" ht="18.0" customHeight="1">
      <c r="A66" s="109"/>
      <c r="B66" s="110"/>
      <c r="C66" s="111"/>
      <c r="D66" s="112"/>
      <c r="E66" s="113"/>
      <c r="F66" s="114"/>
      <c r="G66" s="114"/>
      <c r="H66" s="113"/>
      <c r="I66" s="114"/>
      <c r="J66" s="114"/>
      <c r="K66" s="114"/>
      <c r="L66" s="110"/>
      <c r="M66" s="110"/>
      <c r="N66" s="110"/>
      <c r="O66" s="110"/>
      <c r="P66" s="110"/>
      <c r="Q66" s="110"/>
      <c r="R66" s="110"/>
      <c r="S66" s="110"/>
      <c r="T66" s="112"/>
      <c r="U66" s="5"/>
      <c r="V66" s="5"/>
      <c r="W66" s="5"/>
      <c r="X66" s="5"/>
      <c r="Y66" s="5"/>
      <c r="Z66" s="5"/>
      <c r="AA66" s="112"/>
      <c r="AB66" s="5"/>
      <c r="AC66" s="5"/>
    </row>
    <row r="67" ht="18.0" customHeight="1">
      <c r="A67" s="109"/>
      <c r="B67" s="110"/>
      <c r="C67" s="111"/>
      <c r="D67" s="112"/>
      <c r="E67" s="113"/>
      <c r="F67" s="114"/>
      <c r="G67" s="114"/>
      <c r="H67" s="113"/>
      <c r="I67" s="114"/>
      <c r="J67" s="114"/>
      <c r="K67" s="114"/>
      <c r="L67" s="110"/>
      <c r="M67" s="110"/>
      <c r="N67" s="110"/>
      <c r="O67" s="110"/>
      <c r="P67" s="110"/>
      <c r="Q67" s="110"/>
      <c r="R67" s="110"/>
      <c r="S67" s="110"/>
      <c r="T67" s="112"/>
      <c r="U67" s="5"/>
      <c r="V67" s="5"/>
      <c r="W67" s="5"/>
      <c r="X67" s="5"/>
      <c r="Y67" s="5"/>
      <c r="Z67" s="5"/>
      <c r="AA67" s="112"/>
      <c r="AB67" s="5"/>
      <c r="AC67" s="5"/>
    </row>
    <row r="68" ht="18.0" customHeight="1">
      <c r="A68" s="109"/>
      <c r="B68" s="110"/>
      <c r="C68" s="111"/>
      <c r="D68" s="112"/>
      <c r="E68" s="113"/>
      <c r="F68" s="114"/>
      <c r="G68" s="114"/>
      <c r="H68" s="113"/>
      <c r="I68" s="114"/>
      <c r="J68" s="114"/>
      <c r="K68" s="114"/>
      <c r="L68" s="110"/>
      <c r="M68" s="110"/>
      <c r="N68" s="110"/>
      <c r="O68" s="110"/>
      <c r="P68" s="110"/>
      <c r="Q68" s="110"/>
      <c r="R68" s="110"/>
      <c r="S68" s="110"/>
      <c r="T68" s="112"/>
      <c r="U68" s="5"/>
      <c r="V68" s="5"/>
      <c r="W68" s="5"/>
      <c r="X68" s="5"/>
      <c r="Y68" s="5"/>
      <c r="Z68" s="5"/>
      <c r="AA68" s="112"/>
      <c r="AB68" s="5"/>
      <c r="AC68" s="5"/>
    </row>
    <row r="69" ht="18.0" customHeight="1">
      <c r="A69" s="109"/>
      <c r="B69" s="110"/>
      <c r="C69" s="111"/>
      <c r="D69" s="112"/>
      <c r="E69" s="113"/>
      <c r="F69" s="114"/>
      <c r="G69" s="114"/>
      <c r="H69" s="113"/>
      <c r="I69" s="114"/>
      <c r="J69" s="114"/>
      <c r="K69" s="114"/>
      <c r="L69" s="110"/>
      <c r="M69" s="110"/>
      <c r="N69" s="110"/>
      <c r="O69" s="110"/>
      <c r="P69" s="110"/>
      <c r="Q69" s="110"/>
      <c r="R69" s="110"/>
      <c r="S69" s="110"/>
      <c r="T69" s="112"/>
      <c r="U69" s="5"/>
      <c r="V69" s="5"/>
      <c r="W69" s="5"/>
      <c r="X69" s="5"/>
      <c r="Y69" s="5"/>
      <c r="Z69" s="5"/>
      <c r="AA69" s="112"/>
      <c r="AB69" s="5"/>
      <c r="AC69" s="5"/>
    </row>
    <row r="70" ht="18.0" customHeight="1">
      <c r="A70" s="109"/>
      <c r="B70" s="110"/>
      <c r="C70" s="111"/>
      <c r="D70" s="112"/>
      <c r="E70" s="113"/>
      <c r="F70" s="114"/>
      <c r="G70" s="114"/>
      <c r="H70" s="113"/>
      <c r="I70" s="114"/>
      <c r="J70" s="114"/>
      <c r="K70" s="114"/>
      <c r="L70" s="110"/>
      <c r="M70" s="110"/>
      <c r="N70" s="110"/>
      <c r="O70" s="110"/>
      <c r="P70" s="110"/>
      <c r="Q70" s="110"/>
      <c r="R70" s="110"/>
      <c r="S70" s="110"/>
      <c r="T70" s="112"/>
      <c r="U70" s="5"/>
      <c r="V70" s="5"/>
      <c r="W70" s="5"/>
      <c r="X70" s="5"/>
      <c r="Y70" s="5"/>
      <c r="Z70" s="5"/>
      <c r="AA70" s="112"/>
      <c r="AB70" s="5"/>
      <c r="AC70" s="5"/>
    </row>
    <row r="71" ht="18.0" customHeight="1">
      <c r="A71" s="109"/>
      <c r="B71" s="110"/>
      <c r="C71" s="111"/>
      <c r="D71" s="112"/>
      <c r="E71" s="113"/>
      <c r="F71" s="114"/>
      <c r="G71" s="114"/>
      <c r="H71" s="113"/>
      <c r="I71" s="114"/>
      <c r="J71" s="114"/>
      <c r="K71" s="114"/>
      <c r="L71" s="110"/>
      <c r="M71" s="110"/>
      <c r="N71" s="110"/>
      <c r="O71" s="110"/>
      <c r="P71" s="110"/>
      <c r="Q71" s="110"/>
      <c r="R71" s="110"/>
      <c r="S71" s="110"/>
      <c r="T71" s="112"/>
      <c r="U71" s="5"/>
      <c r="V71" s="5"/>
      <c r="W71" s="5"/>
      <c r="X71" s="5"/>
      <c r="Y71" s="5"/>
      <c r="Z71" s="5"/>
      <c r="AA71" s="112"/>
      <c r="AB71" s="5"/>
      <c r="AC71" s="5"/>
    </row>
    <row r="72" ht="18.0" customHeight="1">
      <c r="A72" s="109"/>
      <c r="B72" s="110"/>
      <c r="C72" s="111"/>
      <c r="D72" s="112"/>
      <c r="E72" s="113"/>
      <c r="F72" s="114"/>
      <c r="G72" s="114"/>
      <c r="H72" s="113"/>
      <c r="I72" s="114"/>
      <c r="J72" s="114"/>
      <c r="K72" s="114"/>
      <c r="L72" s="110"/>
      <c r="M72" s="110"/>
      <c r="N72" s="110"/>
      <c r="O72" s="110"/>
      <c r="P72" s="110"/>
      <c r="Q72" s="110"/>
      <c r="R72" s="110"/>
      <c r="S72" s="110"/>
      <c r="T72" s="112"/>
      <c r="U72" s="5"/>
      <c r="V72" s="5"/>
      <c r="W72" s="5"/>
      <c r="X72" s="5"/>
      <c r="Y72" s="5"/>
      <c r="Z72" s="5"/>
      <c r="AA72" s="112"/>
      <c r="AB72" s="5"/>
      <c r="AC72" s="5"/>
    </row>
    <row r="73" ht="18.0" customHeight="1">
      <c r="A73" s="109"/>
      <c r="B73" s="110"/>
      <c r="C73" s="111"/>
      <c r="D73" s="112"/>
      <c r="E73" s="113"/>
      <c r="F73" s="114"/>
      <c r="G73" s="114"/>
      <c r="H73" s="113"/>
      <c r="I73" s="114"/>
      <c r="J73" s="114"/>
      <c r="K73" s="114"/>
      <c r="L73" s="110"/>
      <c r="M73" s="110"/>
      <c r="N73" s="110"/>
      <c r="O73" s="110"/>
      <c r="P73" s="110"/>
      <c r="Q73" s="110"/>
      <c r="R73" s="110"/>
      <c r="S73" s="110"/>
      <c r="T73" s="112"/>
      <c r="U73" s="5"/>
      <c r="V73" s="5"/>
      <c r="W73" s="5"/>
      <c r="X73" s="5"/>
      <c r="Y73" s="5"/>
      <c r="Z73" s="5"/>
      <c r="AA73" s="112"/>
      <c r="AB73" s="5"/>
      <c r="AC73" s="5"/>
    </row>
    <row r="74" ht="18.0" customHeight="1">
      <c r="A74" s="109"/>
      <c r="B74" s="110"/>
      <c r="C74" s="111"/>
      <c r="D74" s="112"/>
      <c r="E74" s="113"/>
      <c r="F74" s="114"/>
      <c r="G74" s="114"/>
      <c r="H74" s="113"/>
      <c r="I74" s="114"/>
      <c r="J74" s="114"/>
      <c r="K74" s="114"/>
      <c r="L74" s="110"/>
      <c r="M74" s="110"/>
      <c r="N74" s="110"/>
      <c r="O74" s="110"/>
      <c r="P74" s="110"/>
      <c r="Q74" s="110"/>
      <c r="R74" s="110"/>
      <c r="S74" s="110"/>
      <c r="T74" s="112"/>
      <c r="U74" s="5"/>
      <c r="V74" s="5"/>
      <c r="W74" s="5"/>
      <c r="X74" s="5"/>
      <c r="Y74" s="5"/>
      <c r="Z74" s="5"/>
      <c r="AA74" s="112"/>
      <c r="AB74" s="5"/>
      <c r="AC74" s="5"/>
    </row>
    <row r="75" ht="18.0" customHeight="1">
      <c r="A75" s="109"/>
      <c r="B75" s="110"/>
      <c r="C75" s="111"/>
      <c r="D75" s="112"/>
      <c r="E75" s="113"/>
      <c r="F75" s="114"/>
      <c r="G75" s="114"/>
      <c r="H75" s="113"/>
      <c r="I75" s="114"/>
      <c r="J75" s="114"/>
      <c r="K75" s="114"/>
      <c r="L75" s="110"/>
      <c r="M75" s="110"/>
      <c r="N75" s="110"/>
      <c r="O75" s="110"/>
      <c r="P75" s="110"/>
      <c r="Q75" s="110"/>
      <c r="R75" s="110"/>
      <c r="S75" s="110"/>
      <c r="T75" s="112"/>
      <c r="U75" s="5"/>
      <c r="V75" s="5"/>
      <c r="W75" s="5"/>
      <c r="X75" s="5"/>
      <c r="Y75" s="5"/>
      <c r="Z75" s="5"/>
      <c r="AA75" s="112"/>
      <c r="AB75" s="5"/>
      <c r="AC75" s="5"/>
    </row>
    <row r="76" ht="18.0" customHeight="1">
      <c r="A76" s="109"/>
      <c r="B76" s="110"/>
      <c r="C76" s="111"/>
      <c r="D76" s="112"/>
      <c r="E76" s="113"/>
      <c r="F76" s="114"/>
      <c r="G76" s="114"/>
      <c r="H76" s="113"/>
      <c r="I76" s="114"/>
      <c r="J76" s="114"/>
      <c r="K76" s="114"/>
      <c r="L76" s="110"/>
      <c r="M76" s="110"/>
      <c r="N76" s="110"/>
      <c r="O76" s="110"/>
      <c r="P76" s="110"/>
      <c r="Q76" s="110"/>
      <c r="R76" s="110"/>
      <c r="S76" s="110"/>
      <c r="T76" s="112"/>
      <c r="U76" s="5"/>
      <c r="V76" s="5"/>
      <c r="W76" s="5"/>
      <c r="X76" s="5"/>
      <c r="Y76" s="5"/>
      <c r="Z76" s="5"/>
      <c r="AA76" s="112"/>
      <c r="AB76" s="5"/>
      <c r="AC76" s="5"/>
    </row>
    <row r="77" ht="18.0" customHeight="1">
      <c r="A77" s="109"/>
      <c r="B77" s="110"/>
      <c r="C77" s="111"/>
      <c r="D77" s="112"/>
      <c r="E77" s="113"/>
      <c r="F77" s="114"/>
      <c r="G77" s="114"/>
      <c r="H77" s="113"/>
      <c r="I77" s="114"/>
      <c r="J77" s="114"/>
      <c r="K77" s="114"/>
      <c r="L77" s="110"/>
      <c r="M77" s="110"/>
      <c r="N77" s="110"/>
      <c r="O77" s="110"/>
      <c r="P77" s="110"/>
      <c r="Q77" s="110"/>
      <c r="R77" s="110"/>
      <c r="S77" s="110"/>
      <c r="T77" s="112"/>
      <c r="U77" s="5"/>
      <c r="V77" s="5"/>
      <c r="W77" s="5"/>
      <c r="X77" s="5"/>
      <c r="Y77" s="5"/>
      <c r="Z77" s="5"/>
      <c r="AA77" s="112"/>
      <c r="AB77" s="5"/>
      <c r="AC77" s="5"/>
    </row>
    <row r="78" ht="18.0" customHeight="1">
      <c r="A78" s="109"/>
      <c r="B78" s="110"/>
      <c r="C78" s="111"/>
      <c r="D78" s="112"/>
      <c r="E78" s="113"/>
      <c r="F78" s="114"/>
      <c r="G78" s="114"/>
      <c r="H78" s="113"/>
      <c r="I78" s="114"/>
      <c r="J78" s="114"/>
      <c r="K78" s="114"/>
      <c r="L78" s="110"/>
      <c r="M78" s="110"/>
      <c r="N78" s="110"/>
      <c r="O78" s="110"/>
      <c r="P78" s="110"/>
      <c r="Q78" s="110"/>
      <c r="R78" s="110"/>
      <c r="S78" s="110"/>
      <c r="T78" s="112"/>
      <c r="U78" s="5"/>
      <c r="V78" s="5"/>
      <c r="W78" s="5"/>
      <c r="X78" s="5"/>
      <c r="Y78" s="5"/>
      <c r="Z78" s="5"/>
      <c r="AA78" s="112"/>
      <c r="AB78" s="5"/>
      <c r="AC78" s="5"/>
    </row>
    <row r="79" ht="18.0" customHeight="1">
      <c r="A79" s="109"/>
      <c r="B79" s="110"/>
      <c r="C79" s="111"/>
      <c r="D79" s="112"/>
      <c r="E79" s="113"/>
      <c r="F79" s="114"/>
      <c r="G79" s="114"/>
      <c r="H79" s="113"/>
      <c r="I79" s="114"/>
      <c r="J79" s="114"/>
      <c r="K79" s="114"/>
      <c r="L79" s="110"/>
      <c r="M79" s="110"/>
      <c r="N79" s="110"/>
      <c r="O79" s="110"/>
      <c r="P79" s="110"/>
      <c r="Q79" s="110"/>
      <c r="R79" s="110"/>
      <c r="S79" s="110"/>
      <c r="T79" s="112"/>
      <c r="U79" s="5"/>
      <c r="V79" s="5"/>
      <c r="W79" s="5"/>
      <c r="X79" s="5"/>
      <c r="Y79" s="5"/>
      <c r="Z79" s="5"/>
      <c r="AA79" s="112"/>
      <c r="AB79" s="5"/>
      <c r="AC79" s="5"/>
    </row>
    <row r="80" ht="18.0" customHeight="1">
      <c r="A80" s="109"/>
      <c r="B80" s="110"/>
      <c r="C80" s="111"/>
      <c r="D80" s="112"/>
      <c r="E80" s="113"/>
      <c r="F80" s="114"/>
      <c r="G80" s="114"/>
      <c r="H80" s="113"/>
      <c r="I80" s="114"/>
      <c r="J80" s="114"/>
      <c r="K80" s="114"/>
      <c r="L80" s="110"/>
      <c r="M80" s="110"/>
      <c r="N80" s="110"/>
      <c r="O80" s="110"/>
      <c r="P80" s="110"/>
      <c r="Q80" s="110"/>
      <c r="R80" s="110"/>
      <c r="S80" s="110"/>
      <c r="T80" s="112"/>
      <c r="U80" s="5"/>
      <c r="V80" s="5"/>
      <c r="W80" s="5"/>
      <c r="X80" s="5"/>
      <c r="Y80" s="5"/>
      <c r="Z80" s="5"/>
      <c r="AA80" s="112"/>
      <c r="AB80" s="5"/>
      <c r="AC80" s="5"/>
    </row>
    <row r="81" ht="18.0" customHeight="1">
      <c r="A81" s="109"/>
      <c r="B81" s="110"/>
      <c r="C81" s="111"/>
      <c r="D81" s="112"/>
      <c r="E81" s="113"/>
      <c r="F81" s="114"/>
      <c r="G81" s="114"/>
      <c r="H81" s="113"/>
      <c r="I81" s="114"/>
      <c r="J81" s="114"/>
      <c r="K81" s="114"/>
      <c r="L81" s="110"/>
      <c r="M81" s="110"/>
      <c r="N81" s="110"/>
      <c r="O81" s="110"/>
      <c r="P81" s="110"/>
      <c r="Q81" s="110"/>
      <c r="R81" s="110"/>
      <c r="S81" s="110"/>
      <c r="T81" s="112"/>
      <c r="U81" s="5"/>
      <c r="V81" s="5"/>
      <c r="W81" s="5"/>
      <c r="X81" s="5"/>
      <c r="Y81" s="5"/>
      <c r="Z81" s="5"/>
      <c r="AA81" s="112"/>
      <c r="AB81" s="5"/>
      <c r="AC81" s="5"/>
    </row>
    <row r="82" ht="18.0" customHeight="1">
      <c r="A82" s="109"/>
      <c r="B82" s="110"/>
      <c r="C82" s="111"/>
      <c r="D82" s="112"/>
      <c r="E82" s="113"/>
      <c r="F82" s="114"/>
      <c r="G82" s="114"/>
      <c r="H82" s="113"/>
      <c r="I82" s="114"/>
      <c r="J82" s="114"/>
      <c r="K82" s="114"/>
      <c r="L82" s="110"/>
      <c r="M82" s="110"/>
      <c r="N82" s="110"/>
      <c r="O82" s="110"/>
      <c r="P82" s="110"/>
      <c r="Q82" s="110"/>
      <c r="R82" s="110"/>
      <c r="S82" s="110"/>
      <c r="T82" s="112"/>
      <c r="U82" s="5"/>
      <c r="V82" s="5"/>
      <c r="W82" s="5"/>
      <c r="X82" s="5"/>
      <c r="Y82" s="5"/>
      <c r="Z82" s="5"/>
      <c r="AA82" s="112"/>
      <c r="AB82" s="5"/>
      <c r="AC82" s="5"/>
    </row>
    <row r="83" ht="18.0" customHeight="1">
      <c r="A83" s="109"/>
      <c r="B83" s="110"/>
      <c r="C83" s="111"/>
      <c r="D83" s="112"/>
      <c r="E83" s="113"/>
      <c r="F83" s="114"/>
      <c r="G83" s="114"/>
      <c r="H83" s="113"/>
      <c r="I83" s="114"/>
      <c r="J83" s="114"/>
      <c r="K83" s="114"/>
      <c r="L83" s="110"/>
      <c r="M83" s="110"/>
      <c r="N83" s="110"/>
      <c r="O83" s="110"/>
      <c r="P83" s="110"/>
      <c r="Q83" s="110"/>
      <c r="R83" s="110"/>
      <c r="S83" s="110"/>
      <c r="T83" s="112"/>
      <c r="U83" s="5"/>
      <c r="V83" s="5"/>
      <c r="W83" s="5"/>
      <c r="X83" s="5"/>
      <c r="Y83" s="5"/>
      <c r="Z83" s="5"/>
      <c r="AA83" s="112"/>
      <c r="AB83" s="5"/>
      <c r="AC83" s="5"/>
    </row>
    <row r="84" ht="18.0" customHeight="1">
      <c r="A84" s="109"/>
      <c r="B84" s="110"/>
      <c r="C84" s="111"/>
      <c r="D84" s="112"/>
      <c r="E84" s="113"/>
      <c r="F84" s="114"/>
      <c r="G84" s="114"/>
      <c r="H84" s="113"/>
      <c r="I84" s="114"/>
      <c r="J84" s="114"/>
      <c r="K84" s="114"/>
      <c r="L84" s="110"/>
      <c r="M84" s="110"/>
      <c r="N84" s="110"/>
      <c r="O84" s="110"/>
      <c r="P84" s="110"/>
      <c r="Q84" s="110"/>
      <c r="R84" s="110"/>
      <c r="S84" s="110"/>
      <c r="T84" s="112"/>
      <c r="U84" s="5"/>
      <c r="V84" s="5"/>
      <c r="W84" s="5"/>
      <c r="X84" s="5"/>
      <c r="Y84" s="5"/>
      <c r="Z84" s="5"/>
      <c r="AA84" s="112"/>
      <c r="AB84" s="5"/>
      <c r="AC84" s="5"/>
    </row>
    <row r="85" ht="18.0" customHeight="1">
      <c r="A85" s="109"/>
      <c r="B85" s="110"/>
      <c r="C85" s="111"/>
      <c r="D85" s="112"/>
      <c r="E85" s="113"/>
      <c r="F85" s="114"/>
      <c r="G85" s="114"/>
      <c r="H85" s="113"/>
      <c r="I85" s="114"/>
      <c r="J85" s="114"/>
      <c r="K85" s="114"/>
      <c r="L85" s="110"/>
      <c r="M85" s="110"/>
      <c r="N85" s="110"/>
      <c r="O85" s="110"/>
      <c r="P85" s="110"/>
      <c r="Q85" s="110"/>
      <c r="R85" s="110"/>
      <c r="S85" s="110"/>
      <c r="T85" s="112"/>
      <c r="U85" s="5"/>
      <c r="V85" s="5"/>
      <c r="W85" s="5"/>
      <c r="X85" s="5"/>
      <c r="Y85" s="5"/>
      <c r="Z85" s="5"/>
      <c r="AA85" s="112"/>
      <c r="AB85" s="5"/>
      <c r="AC85" s="5"/>
    </row>
    <row r="86" ht="18.0" customHeight="1">
      <c r="A86" s="109"/>
      <c r="B86" s="110"/>
      <c r="C86" s="111"/>
      <c r="D86" s="112"/>
      <c r="E86" s="113"/>
      <c r="F86" s="114"/>
      <c r="G86" s="114"/>
      <c r="H86" s="113"/>
      <c r="I86" s="114"/>
      <c r="J86" s="114"/>
      <c r="K86" s="114"/>
      <c r="L86" s="110"/>
      <c r="M86" s="110"/>
      <c r="N86" s="110"/>
      <c r="O86" s="110"/>
      <c r="P86" s="110"/>
      <c r="Q86" s="110"/>
      <c r="R86" s="110"/>
      <c r="S86" s="110"/>
      <c r="T86" s="112"/>
      <c r="U86" s="5"/>
      <c r="V86" s="5"/>
      <c r="W86" s="5"/>
      <c r="X86" s="5"/>
      <c r="Y86" s="5"/>
      <c r="Z86" s="5"/>
      <c r="AA86" s="112"/>
      <c r="AB86" s="5"/>
      <c r="AC86" s="5"/>
    </row>
    <row r="87" ht="18.0" customHeight="1">
      <c r="A87" s="109"/>
      <c r="B87" s="110"/>
      <c r="C87" s="111"/>
      <c r="D87" s="112"/>
      <c r="E87" s="113"/>
      <c r="F87" s="114"/>
      <c r="G87" s="114"/>
      <c r="H87" s="113"/>
      <c r="I87" s="114"/>
      <c r="J87" s="114"/>
      <c r="K87" s="114"/>
      <c r="L87" s="110"/>
      <c r="M87" s="110"/>
      <c r="N87" s="110"/>
      <c r="O87" s="110"/>
      <c r="P87" s="110"/>
      <c r="Q87" s="110"/>
      <c r="R87" s="110"/>
      <c r="S87" s="110"/>
      <c r="T87" s="112"/>
      <c r="U87" s="5"/>
      <c r="V87" s="5"/>
      <c r="W87" s="5"/>
      <c r="X87" s="5"/>
      <c r="Y87" s="5"/>
      <c r="Z87" s="5"/>
      <c r="AA87" s="112"/>
      <c r="AB87" s="5"/>
      <c r="AC87" s="5"/>
    </row>
    <row r="88" ht="18.0" customHeight="1">
      <c r="A88" s="109"/>
      <c r="B88" s="110"/>
      <c r="C88" s="111"/>
      <c r="D88" s="112"/>
      <c r="E88" s="113"/>
      <c r="F88" s="114"/>
      <c r="G88" s="114"/>
      <c r="H88" s="113"/>
      <c r="I88" s="114"/>
      <c r="J88" s="114"/>
      <c r="K88" s="114"/>
      <c r="L88" s="110"/>
      <c r="M88" s="110"/>
      <c r="N88" s="110"/>
      <c r="O88" s="110"/>
      <c r="P88" s="110"/>
      <c r="Q88" s="110"/>
      <c r="R88" s="110"/>
      <c r="S88" s="110"/>
      <c r="T88" s="112"/>
      <c r="U88" s="5"/>
      <c r="V88" s="5"/>
      <c r="W88" s="5"/>
      <c r="X88" s="5"/>
      <c r="Y88" s="5"/>
      <c r="Z88" s="5"/>
      <c r="AA88" s="112"/>
      <c r="AB88" s="5"/>
      <c r="AC88" s="5"/>
    </row>
    <row r="89" ht="18.0" customHeight="1">
      <c r="A89" s="109"/>
      <c r="B89" s="110"/>
      <c r="C89" s="111"/>
      <c r="D89" s="112"/>
      <c r="E89" s="113"/>
      <c r="F89" s="114"/>
      <c r="G89" s="114"/>
      <c r="H89" s="113"/>
      <c r="I89" s="114"/>
      <c r="J89" s="114"/>
      <c r="K89" s="114"/>
      <c r="L89" s="110"/>
      <c r="M89" s="110"/>
      <c r="N89" s="110"/>
      <c r="O89" s="110"/>
      <c r="P89" s="110"/>
      <c r="Q89" s="110"/>
      <c r="R89" s="110"/>
      <c r="S89" s="110"/>
      <c r="T89" s="112"/>
      <c r="U89" s="5"/>
      <c r="V89" s="5"/>
      <c r="W89" s="5"/>
      <c r="X89" s="5"/>
      <c r="Y89" s="5"/>
      <c r="Z89" s="5"/>
      <c r="AA89" s="112"/>
      <c r="AB89" s="5"/>
      <c r="AC89" s="5"/>
    </row>
    <row r="90" ht="18.0" customHeight="1">
      <c r="A90" s="109"/>
      <c r="B90" s="110"/>
      <c r="C90" s="111"/>
      <c r="D90" s="112"/>
      <c r="E90" s="113"/>
      <c r="F90" s="114"/>
      <c r="G90" s="114"/>
      <c r="H90" s="113"/>
      <c r="I90" s="114"/>
      <c r="J90" s="114"/>
      <c r="K90" s="114"/>
      <c r="L90" s="110"/>
      <c r="M90" s="110"/>
      <c r="N90" s="110"/>
      <c r="O90" s="110"/>
      <c r="P90" s="110"/>
      <c r="Q90" s="110"/>
      <c r="R90" s="110"/>
      <c r="S90" s="110"/>
      <c r="T90" s="112"/>
      <c r="U90" s="5"/>
      <c r="V90" s="5"/>
      <c r="W90" s="5"/>
      <c r="X90" s="5"/>
      <c r="Y90" s="5"/>
      <c r="Z90" s="5"/>
      <c r="AA90" s="112"/>
      <c r="AB90" s="5"/>
      <c r="AC90" s="5"/>
    </row>
    <row r="91" ht="18.0" customHeight="1">
      <c r="A91" s="109"/>
      <c r="B91" s="110"/>
      <c r="C91" s="111"/>
      <c r="D91" s="112"/>
      <c r="E91" s="113"/>
      <c r="F91" s="114"/>
      <c r="G91" s="114"/>
      <c r="H91" s="113"/>
      <c r="I91" s="114"/>
      <c r="J91" s="114"/>
      <c r="K91" s="114"/>
      <c r="L91" s="110"/>
      <c r="M91" s="110"/>
      <c r="N91" s="110"/>
      <c r="O91" s="110"/>
      <c r="P91" s="110"/>
      <c r="Q91" s="110"/>
      <c r="R91" s="110"/>
      <c r="S91" s="110"/>
      <c r="T91" s="112"/>
      <c r="U91" s="5"/>
      <c r="V91" s="5"/>
      <c r="W91" s="5"/>
      <c r="X91" s="5"/>
      <c r="Y91" s="5"/>
      <c r="Z91" s="5"/>
      <c r="AA91" s="112"/>
      <c r="AB91" s="5"/>
      <c r="AC91" s="5"/>
    </row>
    <row r="92" ht="18.0" customHeight="1">
      <c r="A92" s="109"/>
      <c r="B92" s="110"/>
      <c r="C92" s="111"/>
      <c r="D92" s="112"/>
      <c r="E92" s="113"/>
      <c r="F92" s="114"/>
      <c r="G92" s="114"/>
      <c r="H92" s="113"/>
      <c r="I92" s="114"/>
      <c r="J92" s="114"/>
      <c r="K92" s="114"/>
      <c r="L92" s="110"/>
      <c r="M92" s="110"/>
      <c r="N92" s="110"/>
      <c r="O92" s="110"/>
      <c r="P92" s="110"/>
      <c r="Q92" s="110"/>
      <c r="R92" s="110"/>
      <c r="S92" s="110"/>
      <c r="T92" s="112"/>
      <c r="U92" s="5"/>
      <c r="V92" s="5"/>
      <c r="W92" s="5"/>
      <c r="X92" s="5"/>
      <c r="Y92" s="5"/>
      <c r="Z92" s="5"/>
      <c r="AA92" s="112"/>
      <c r="AB92" s="5"/>
      <c r="AC92" s="5"/>
    </row>
    <row r="93" ht="18.0" customHeight="1">
      <c r="A93" s="109"/>
      <c r="B93" s="110"/>
      <c r="C93" s="111"/>
      <c r="D93" s="112"/>
      <c r="E93" s="113"/>
      <c r="F93" s="114"/>
      <c r="G93" s="114"/>
      <c r="H93" s="113"/>
      <c r="I93" s="114"/>
      <c r="J93" s="114"/>
      <c r="K93" s="114"/>
      <c r="L93" s="110"/>
      <c r="M93" s="110"/>
      <c r="N93" s="110"/>
      <c r="O93" s="110"/>
      <c r="P93" s="110"/>
      <c r="Q93" s="110"/>
      <c r="R93" s="110"/>
      <c r="S93" s="110"/>
      <c r="T93" s="112"/>
      <c r="U93" s="5"/>
      <c r="V93" s="5"/>
      <c r="W93" s="5"/>
      <c r="X93" s="5"/>
      <c r="Y93" s="5"/>
      <c r="Z93" s="5"/>
      <c r="AA93" s="112"/>
      <c r="AB93" s="5"/>
      <c r="AC93" s="5"/>
    </row>
    <row r="94" ht="18.0" customHeight="1">
      <c r="A94" s="109"/>
      <c r="B94" s="110"/>
      <c r="C94" s="111"/>
      <c r="D94" s="112"/>
      <c r="E94" s="113"/>
      <c r="F94" s="114"/>
      <c r="G94" s="114"/>
      <c r="H94" s="113"/>
      <c r="I94" s="114"/>
      <c r="J94" s="114"/>
      <c r="K94" s="114"/>
      <c r="L94" s="110"/>
      <c r="M94" s="110"/>
      <c r="N94" s="110"/>
      <c r="O94" s="110"/>
      <c r="P94" s="110"/>
      <c r="Q94" s="110"/>
      <c r="R94" s="110"/>
      <c r="S94" s="110"/>
      <c r="T94" s="112"/>
      <c r="U94" s="5"/>
      <c r="V94" s="5"/>
      <c r="W94" s="5"/>
      <c r="X94" s="5"/>
      <c r="Y94" s="5"/>
      <c r="Z94" s="5"/>
      <c r="AA94" s="112"/>
      <c r="AB94" s="5"/>
      <c r="AC94" s="5"/>
    </row>
    <row r="95" ht="18.0" customHeight="1">
      <c r="A95" s="109"/>
      <c r="B95" s="110"/>
      <c r="C95" s="111"/>
      <c r="D95" s="112"/>
      <c r="E95" s="113"/>
      <c r="F95" s="114"/>
      <c r="G95" s="114"/>
      <c r="H95" s="113"/>
      <c r="I95" s="114"/>
      <c r="J95" s="114"/>
      <c r="K95" s="114"/>
      <c r="L95" s="110"/>
      <c r="M95" s="110"/>
      <c r="N95" s="110"/>
      <c r="O95" s="110"/>
      <c r="P95" s="110"/>
      <c r="Q95" s="110"/>
      <c r="R95" s="110"/>
      <c r="S95" s="110"/>
      <c r="T95" s="112"/>
      <c r="U95" s="5"/>
      <c r="V95" s="5"/>
      <c r="W95" s="5"/>
      <c r="X95" s="5"/>
      <c r="Y95" s="5"/>
      <c r="Z95" s="5"/>
      <c r="AA95" s="112"/>
      <c r="AB95" s="5"/>
      <c r="AC95" s="5"/>
    </row>
    <row r="96" ht="18.0" customHeight="1">
      <c r="A96" s="109"/>
      <c r="B96" s="110"/>
      <c r="C96" s="111"/>
      <c r="D96" s="112"/>
      <c r="E96" s="113"/>
      <c r="F96" s="114"/>
      <c r="G96" s="114"/>
      <c r="H96" s="113"/>
      <c r="I96" s="114"/>
      <c r="J96" s="114"/>
      <c r="K96" s="114"/>
      <c r="L96" s="110"/>
      <c r="M96" s="110"/>
      <c r="N96" s="110"/>
      <c r="O96" s="110"/>
      <c r="P96" s="110"/>
      <c r="Q96" s="110"/>
      <c r="R96" s="110"/>
      <c r="S96" s="110"/>
      <c r="T96" s="112"/>
      <c r="U96" s="5"/>
      <c r="V96" s="5"/>
      <c r="W96" s="5"/>
      <c r="X96" s="5"/>
      <c r="Y96" s="5"/>
      <c r="Z96" s="5"/>
      <c r="AA96" s="112"/>
      <c r="AB96" s="5"/>
      <c r="AC96" s="5"/>
    </row>
    <row r="97" ht="18.0" customHeight="1">
      <c r="A97" s="109"/>
      <c r="B97" s="110"/>
      <c r="C97" s="111"/>
      <c r="D97" s="112"/>
      <c r="E97" s="113"/>
      <c r="F97" s="114"/>
      <c r="G97" s="114"/>
      <c r="H97" s="113"/>
      <c r="I97" s="114"/>
      <c r="J97" s="114"/>
      <c r="K97" s="114"/>
      <c r="L97" s="110"/>
      <c r="M97" s="110"/>
      <c r="N97" s="110"/>
      <c r="O97" s="110"/>
      <c r="P97" s="110"/>
      <c r="Q97" s="110"/>
      <c r="R97" s="110"/>
      <c r="S97" s="110"/>
      <c r="T97" s="112"/>
      <c r="U97" s="5"/>
      <c r="V97" s="5"/>
      <c r="W97" s="5"/>
      <c r="X97" s="5"/>
      <c r="Y97" s="5"/>
      <c r="Z97" s="5"/>
      <c r="AA97" s="112"/>
      <c r="AB97" s="5"/>
      <c r="AC97" s="5"/>
    </row>
    <row r="98" ht="18.0" customHeight="1">
      <c r="A98" s="109"/>
      <c r="B98" s="110"/>
      <c r="C98" s="111"/>
      <c r="D98" s="112"/>
      <c r="E98" s="113"/>
      <c r="F98" s="114"/>
      <c r="G98" s="114"/>
      <c r="H98" s="113"/>
      <c r="I98" s="114"/>
      <c r="J98" s="114"/>
      <c r="K98" s="114"/>
      <c r="L98" s="110"/>
      <c r="M98" s="110"/>
      <c r="N98" s="110"/>
      <c r="O98" s="110"/>
      <c r="P98" s="110"/>
      <c r="Q98" s="110"/>
      <c r="R98" s="110"/>
      <c r="S98" s="110"/>
      <c r="T98" s="112"/>
      <c r="U98" s="5"/>
      <c r="V98" s="5"/>
      <c r="W98" s="5"/>
      <c r="X98" s="5"/>
      <c r="Y98" s="5"/>
      <c r="Z98" s="5"/>
      <c r="AA98" s="112"/>
      <c r="AB98" s="5"/>
      <c r="AC98" s="5"/>
    </row>
    <row r="99" ht="18.0" customHeight="1">
      <c r="A99" s="109"/>
      <c r="B99" s="110"/>
      <c r="C99" s="111"/>
      <c r="D99" s="112"/>
      <c r="E99" s="113"/>
      <c r="F99" s="114"/>
      <c r="G99" s="114"/>
      <c r="H99" s="113"/>
      <c r="I99" s="114"/>
      <c r="J99" s="114"/>
      <c r="K99" s="114"/>
      <c r="L99" s="110"/>
      <c r="M99" s="110"/>
      <c r="N99" s="110"/>
      <c r="O99" s="110"/>
      <c r="P99" s="110"/>
      <c r="Q99" s="110"/>
      <c r="R99" s="110"/>
      <c r="S99" s="110"/>
      <c r="T99" s="112"/>
      <c r="U99" s="5"/>
      <c r="V99" s="5"/>
      <c r="W99" s="5"/>
      <c r="X99" s="5"/>
      <c r="Y99" s="5"/>
      <c r="Z99" s="5"/>
      <c r="AA99" s="112"/>
      <c r="AB99" s="5"/>
      <c r="AC99" s="5"/>
    </row>
    <row r="100" ht="18.0" customHeight="1">
      <c r="A100" s="109"/>
      <c r="B100" s="110"/>
      <c r="C100" s="111"/>
      <c r="D100" s="112"/>
      <c r="E100" s="113"/>
      <c r="F100" s="114"/>
      <c r="G100" s="114"/>
      <c r="H100" s="113"/>
      <c r="I100" s="114"/>
      <c r="J100" s="114"/>
      <c r="K100" s="114"/>
      <c r="L100" s="110"/>
      <c r="M100" s="110"/>
      <c r="N100" s="110"/>
      <c r="O100" s="110"/>
      <c r="P100" s="110"/>
      <c r="Q100" s="110"/>
      <c r="R100" s="110"/>
      <c r="S100" s="110"/>
      <c r="T100" s="112"/>
      <c r="U100" s="5"/>
      <c r="V100" s="5"/>
      <c r="W100" s="5"/>
      <c r="X100" s="5"/>
      <c r="Y100" s="5"/>
      <c r="Z100" s="5"/>
      <c r="AA100" s="112"/>
      <c r="AB100" s="5"/>
      <c r="AC100" s="5"/>
    </row>
    <row r="101" ht="18.0" customHeight="1">
      <c r="A101" s="109"/>
      <c r="B101" s="110"/>
      <c r="C101" s="111"/>
      <c r="D101" s="112"/>
      <c r="E101" s="113"/>
      <c r="F101" s="114"/>
      <c r="G101" s="114"/>
      <c r="H101" s="113"/>
      <c r="I101" s="114"/>
      <c r="J101" s="114"/>
      <c r="K101" s="114"/>
      <c r="L101" s="110"/>
      <c r="M101" s="110"/>
      <c r="N101" s="110"/>
      <c r="O101" s="110"/>
      <c r="P101" s="110"/>
      <c r="Q101" s="110"/>
      <c r="R101" s="110"/>
      <c r="S101" s="110"/>
      <c r="T101" s="112"/>
      <c r="U101" s="5"/>
      <c r="V101" s="5"/>
      <c r="W101" s="5"/>
      <c r="X101" s="5"/>
      <c r="Y101" s="5"/>
      <c r="Z101" s="5"/>
      <c r="AA101" s="112"/>
      <c r="AB101" s="5"/>
      <c r="AC101" s="5"/>
    </row>
    <row r="102" ht="18.0" customHeight="1">
      <c r="A102" s="109"/>
      <c r="B102" s="110"/>
      <c r="C102" s="111"/>
      <c r="D102" s="112"/>
      <c r="E102" s="113"/>
      <c r="F102" s="114"/>
      <c r="G102" s="114"/>
      <c r="H102" s="113"/>
      <c r="I102" s="114"/>
      <c r="J102" s="114"/>
      <c r="K102" s="114"/>
      <c r="L102" s="110"/>
      <c r="M102" s="110"/>
      <c r="N102" s="110"/>
      <c r="O102" s="110"/>
      <c r="P102" s="110"/>
      <c r="Q102" s="110"/>
      <c r="R102" s="110"/>
      <c r="S102" s="110"/>
      <c r="T102" s="112"/>
      <c r="U102" s="5"/>
      <c r="V102" s="5"/>
      <c r="W102" s="5"/>
      <c r="X102" s="5"/>
      <c r="Y102" s="5"/>
      <c r="Z102" s="5"/>
      <c r="AA102" s="112"/>
      <c r="AB102" s="5"/>
      <c r="AC102" s="5"/>
    </row>
    <row r="103" ht="18.0" customHeight="1">
      <c r="A103" s="109"/>
      <c r="B103" s="110"/>
      <c r="C103" s="111"/>
      <c r="D103" s="112"/>
      <c r="E103" s="113"/>
      <c r="F103" s="114"/>
      <c r="G103" s="114"/>
      <c r="H103" s="113"/>
      <c r="I103" s="114"/>
      <c r="J103" s="114"/>
      <c r="K103" s="114"/>
      <c r="L103" s="110"/>
      <c r="M103" s="110"/>
      <c r="N103" s="110"/>
      <c r="O103" s="110"/>
      <c r="P103" s="110"/>
      <c r="Q103" s="110"/>
      <c r="R103" s="110"/>
      <c r="S103" s="110"/>
      <c r="T103" s="112"/>
      <c r="U103" s="5"/>
      <c r="V103" s="5"/>
      <c r="W103" s="5"/>
      <c r="X103" s="5"/>
      <c r="Y103" s="5"/>
      <c r="Z103" s="5"/>
      <c r="AA103" s="112"/>
      <c r="AB103" s="5"/>
      <c r="AC103" s="5"/>
    </row>
    <row r="104" ht="18.0" customHeight="1">
      <c r="A104" s="109"/>
      <c r="B104" s="110"/>
      <c r="C104" s="111"/>
      <c r="D104" s="112"/>
      <c r="E104" s="113"/>
      <c r="F104" s="114"/>
      <c r="G104" s="114"/>
      <c r="H104" s="113"/>
      <c r="I104" s="114"/>
      <c r="J104" s="114"/>
      <c r="K104" s="114"/>
      <c r="L104" s="110"/>
      <c r="M104" s="110"/>
      <c r="N104" s="110"/>
      <c r="O104" s="110"/>
      <c r="P104" s="110"/>
      <c r="Q104" s="110"/>
      <c r="R104" s="110"/>
      <c r="S104" s="110"/>
      <c r="T104" s="112"/>
      <c r="U104" s="5"/>
      <c r="V104" s="5"/>
      <c r="W104" s="5"/>
      <c r="X104" s="5"/>
      <c r="Y104" s="5"/>
      <c r="Z104" s="5"/>
      <c r="AA104" s="112"/>
      <c r="AB104" s="5"/>
      <c r="AC104" s="5"/>
    </row>
    <row r="105" ht="18.0" customHeight="1">
      <c r="A105" s="109"/>
      <c r="B105" s="110"/>
      <c r="C105" s="111"/>
      <c r="D105" s="112"/>
      <c r="E105" s="113"/>
      <c r="F105" s="114"/>
      <c r="G105" s="114"/>
      <c r="H105" s="113"/>
      <c r="I105" s="114"/>
      <c r="J105" s="114"/>
      <c r="K105" s="114"/>
      <c r="L105" s="110"/>
      <c r="M105" s="110"/>
      <c r="N105" s="110"/>
      <c r="O105" s="110"/>
      <c r="P105" s="110"/>
      <c r="Q105" s="110"/>
      <c r="R105" s="110"/>
      <c r="S105" s="110"/>
      <c r="T105" s="112"/>
      <c r="U105" s="5"/>
      <c r="V105" s="5"/>
      <c r="W105" s="5"/>
      <c r="X105" s="5"/>
      <c r="Y105" s="5"/>
      <c r="Z105" s="5"/>
      <c r="AA105" s="112"/>
      <c r="AB105" s="5"/>
      <c r="AC105" s="5"/>
    </row>
    <row r="106" ht="18.0" customHeight="1">
      <c r="A106" s="109"/>
      <c r="B106" s="110"/>
      <c r="C106" s="111"/>
      <c r="D106" s="112"/>
      <c r="E106" s="113"/>
      <c r="F106" s="114"/>
      <c r="G106" s="114"/>
      <c r="H106" s="113"/>
      <c r="I106" s="114"/>
      <c r="J106" s="114"/>
      <c r="K106" s="114"/>
      <c r="L106" s="110"/>
      <c r="M106" s="110"/>
      <c r="N106" s="110"/>
      <c r="O106" s="110"/>
      <c r="P106" s="110"/>
      <c r="Q106" s="110"/>
      <c r="R106" s="110"/>
      <c r="S106" s="110"/>
      <c r="T106" s="112"/>
      <c r="U106" s="5"/>
      <c r="V106" s="5"/>
      <c r="W106" s="5"/>
      <c r="X106" s="5"/>
      <c r="Y106" s="5"/>
      <c r="Z106" s="5"/>
      <c r="AA106" s="112"/>
      <c r="AB106" s="5"/>
      <c r="AC106" s="5"/>
    </row>
    <row r="107" ht="18.0" customHeight="1">
      <c r="A107" s="109"/>
      <c r="B107" s="110"/>
      <c r="C107" s="111"/>
      <c r="D107" s="112"/>
      <c r="E107" s="113"/>
      <c r="F107" s="114"/>
      <c r="G107" s="114"/>
      <c r="H107" s="113"/>
      <c r="I107" s="114"/>
      <c r="J107" s="114"/>
      <c r="K107" s="114"/>
      <c r="L107" s="110"/>
      <c r="M107" s="110"/>
      <c r="N107" s="110"/>
      <c r="O107" s="110"/>
      <c r="P107" s="110"/>
      <c r="Q107" s="110"/>
      <c r="R107" s="110"/>
      <c r="S107" s="110"/>
      <c r="T107" s="112"/>
      <c r="U107" s="5"/>
      <c r="V107" s="5"/>
      <c r="W107" s="5"/>
      <c r="X107" s="5"/>
      <c r="Y107" s="5"/>
      <c r="Z107" s="5"/>
      <c r="AA107" s="112"/>
      <c r="AB107" s="5"/>
      <c r="AC107" s="5"/>
    </row>
    <row r="108" ht="18.0" customHeight="1">
      <c r="A108" s="109"/>
      <c r="B108" s="110"/>
      <c r="C108" s="111"/>
      <c r="D108" s="112"/>
      <c r="E108" s="113"/>
      <c r="F108" s="114"/>
      <c r="G108" s="114"/>
      <c r="H108" s="113"/>
      <c r="I108" s="114"/>
      <c r="J108" s="114"/>
      <c r="K108" s="114"/>
      <c r="L108" s="110"/>
      <c r="M108" s="110"/>
      <c r="N108" s="110"/>
      <c r="O108" s="110"/>
      <c r="P108" s="110"/>
      <c r="Q108" s="110"/>
      <c r="R108" s="110"/>
      <c r="S108" s="110"/>
      <c r="T108" s="112"/>
      <c r="U108" s="5"/>
      <c r="V108" s="5"/>
      <c r="W108" s="5"/>
      <c r="X108" s="5"/>
      <c r="Y108" s="5"/>
      <c r="Z108" s="5"/>
      <c r="AA108" s="112"/>
      <c r="AB108" s="5"/>
      <c r="AC108" s="5"/>
    </row>
    <row r="109" ht="18.0" customHeight="1">
      <c r="A109" s="109"/>
      <c r="B109" s="110"/>
      <c r="C109" s="111"/>
      <c r="D109" s="112"/>
      <c r="E109" s="113"/>
      <c r="F109" s="114"/>
      <c r="G109" s="114"/>
      <c r="H109" s="113"/>
      <c r="I109" s="114"/>
      <c r="J109" s="114"/>
      <c r="K109" s="114"/>
      <c r="L109" s="110"/>
      <c r="M109" s="110"/>
      <c r="N109" s="110"/>
      <c r="O109" s="110"/>
      <c r="P109" s="110"/>
      <c r="Q109" s="110"/>
      <c r="R109" s="110"/>
      <c r="S109" s="110"/>
      <c r="T109" s="112"/>
      <c r="U109" s="5"/>
      <c r="V109" s="5"/>
      <c r="W109" s="5"/>
      <c r="X109" s="5"/>
      <c r="Y109" s="5"/>
      <c r="Z109" s="5"/>
      <c r="AA109" s="112"/>
      <c r="AB109" s="5"/>
      <c r="AC109" s="5"/>
    </row>
    <row r="110" ht="18.0" customHeight="1">
      <c r="A110" s="109"/>
      <c r="B110" s="110"/>
      <c r="C110" s="111"/>
      <c r="D110" s="112"/>
      <c r="E110" s="113"/>
      <c r="F110" s="114"/>
      <c r="G110" s="114"/>
      <c r="H110" s="113"/>
      <c r="I110" s="114"/>
      <c r="J110" s="114"/>
      <c r="K110" s="114"/>
      <c r="L110" s="110"/>
      <c r="M110" s="110"/>
      <c r="N110" s="110"/>
      <c r="O110" s="110"/>
      <c r="P110" s="110"/>
      <c r="Q110" s="110"/>
      <c r="R110" s="110"/>
      <c r="S110" s="110"/>
      <c r="T110" s="112"/>
      <c r="U110" s="5"/>
      <c r="V110" s="5"/>
      <c r="W110" s="5"/>
      <c r="X110" s="5"/>
      <c r="Y110" s="5"/>
      <c r="Z110" s="5"/>
      <c r="AA110" s="112"/>
      <c r="AB110" s="5"/>
      <c r="AC110" s="5"/>
    </row>
    <row r="111" ht="18.0" customHeight="1">
      <c r="A111" s="109"/>
      <c r="B111" s="110"/>
      <c r="C111" s="111"/>
      <c r="D111" s="112"/>
      <c r="E111" s="113"/>
      <c r="F111" s="114"/>
      <c r="G111" s="114"/>
      <c r="H111" s="113"/>
      <c r="I111" s="114"/>
      <c r="J111" s="114"/>
      <c r="K111" s="114"/>
      <c r="L111" s="110"/>
      <c r="M111" s="110"/>
      <c r="N111" s="110"/>
      <c r="O111" s="110"/>
      <c r="P111" s="110"/>
      <c r="Q111" s="110"/>
      <c r="R111" s="110"/>
      <c r="S111" s="110"/>
      <c r="T111" s="112"/>
      <c r="U111" s="5"/>
      <c r="V111" s="5"/>
      <c r="W111" s="5"/>
      <c r="X111" s="5"/>
      <c r="Y111" s="5"/>
      <c r="Z111" s="5"/>
      <c r="AA111" s="112"/>
      <c r="AB111" s="5"/>
      <c r="AC111" s="5"/>
    </row>
    <row r="112" ht="18.0" customHeight="1">
      <c r="A112" s="109"/>
      <c r="B112" s="110"/>
      <c r="C112" s="111"/>
      <c r="D112" s="112"/>
      <c r="E112" s="113"/>
      <c r="F112" s="114"/>
      <c r="G112" s="114"/>
      <c r="H112" s="113"/>
      <c r="I112" s="114"/>
      <c r="J112" s="114"/>
      <c r="K112" s="114"/>
      <c r="L112" s="110"/>
      <c r="M112" s="110"/>
      <c r="N112" s="110"/>
      <c r="O112" s="110"/>
      <c r="P112" s="110"/>
      <c r="Q112" s="110"/>
      <c r="R112" s="110"/>
      <c r="S112" s="110"/>
      <c r="T112" s="112"/>
      <c r="U112" s="5"/>
      <c r="V112" s="5"/>
      <c r="W112" s="5"/>
      <c r="X112" s="5"/>
      <c r="Y112" s="5"/>
      <c r="Z112" s="5"/>
      <c r="AA112" s="112"/>
      <c r="AB112" s="5"/>
      <c r="AC112" s="5"/>
    </row>
    <row r="113" ht="18.0" customHeight="1">
      <c r="A113" s="109"/>
      <c r="B113" s="110"/>
      <c r="C113" s="111"/>
      <c r="D113" s="112"/>
      <c r="E113" s="113"/>
      <c r="F113" s="114"/>
      <c r="G113" s="114"/>
      <c r="H113" s="113"/>
      <c r="I113" s="114"/>
      <c r="J113" s="114"/>
      <c r="K113" s="114"/>
      <c r="L113" s="110"/>
      <c r="M113" s="110"/>
      <c r="N113" s="110"/>
      <c r="O113" s="110"/>
      <c r="P113" s="110"/>
      <c r="Q113" s="110"/>
      <c r="R113" s="110"/>
      <c r="S113" s="110"/>
      <c r="T113" s="112"/>
      <c r="U113" s="5"/>
      <c r="V113" s="5"/>
      <c r="W113" s="5"/>
      <c r="X113" s="5"/>
      <c r="Y113" s="5"/>
      <c r="Z113" s="5"/>
      <c r="AA113" s="112"/>
      <c r="AB113" s="5"/>
      <c r="AC113" s="5"/>
    </row>
    <row r="114" ht="18.0" customHeight="1">
      <c r="A114" s="109"/>
      <c r="B114" s="110"/>
      <c r="C114" s="111"/>
      <c r="D114" s="112"/>
      <c r="E114" s="113"/>
      <c r="F114" s="114"/>
      <c r="G114" s="114"/>
      <c r="H114" s="113"/>
      <c r="I114" s="114"/>
      <c r="J114" s="114"/>
      <c r="K114" s="114"/>
      <c r="L114" s="110"/>
      <c r="M114" s="110"/>
      <c r="N114" s="110"/>
      <c r="O114" s="110"/>
      <c r="P114" s="110"/>
      <c r="Q114" s="110"/>
      <c r="R114" s="110"/>
      <c r="S114" s="110"/>
      <c r="T114" s="112"/>
      <c r="U114" s="5"/>
      <c r="V114" s="5"/>
      <c r="W114" s="5"/>
      <c r="X114" s="5"/>
      <c r="Y114" s="5"/>
      <c r="Z114" s="5"/>
      <c r="AA114" s="112"/>
      <c r="AB114" s="5"/>
      <c r="AC114" s="5"/>
    </row>
    <row r="115" ht="18.0" customHeight="1">
      <c r="A115" s="109"/>
      <c r="B115" s="110"/>
      <c r="C115" s="111"/>
      <c r="D115" s="112"/>
      <c r="E115" s="113"/>
      <c r="F115" s="114"/>
      <c r="G115" s="114"/>
      <c r="H115" s="113"/>
      <c r="I115" s="114"/>
      <c r="J115" s="114"/>
      <c r="K115" s="114"/>
      <c r="L115" s="110"/>
      <c r="M115" s="110"/>
      <c r="N115" s="110"/>
      <c r="O115" s="110"/>
      <c r="P115" s="110"/>
      <c r="Q115" s="110"/>
      <c r="R115" s="110"/>
      <c r="S115" s="110"/>
      <c r="T115" s="112"/>
      <c r="U115" s="5"/>
      <c r="V115" s="5"/>
      <c r="W115" s="5"/>
      <c r="X115" s="5"/>
      <c r="Y115" s="5"/>
      <c r="Z115" s="5"/>
      <c r="AA115" s="112"/>
      <c r="AB115" s="5"/>
      <c r="AC115" s="5"/>
    </row>
    <row r="116" ht="18.0" customHeight="1">
      <c r="A116" s="109"/>
      <c r="B116" s="110"/>
      <c r="C116" s="111"/>
      <c r="D116" s="112"/>
      <c r="E116" s="113"/>
      <c r="F116" s="114"/>
      <c r="G116" s="114"/>
      <c r="H116" s="113"/>
      <c r="I116" s="114"/>
      <c r="J116" s="114"/>
      <c r="K116" s="114"/>
      <c r="L116" s="110"/>
      <c r="M116" s="110"/>
      <c r="N116" s="110"/>
      <c r="O116" s="110"/>
      <c r="P116" s="110"/>
      <c r="Q116" s="110"/>
      <c r="R116" s="110"/>
      <c r="S116" s="110"/>
      <c r="T116" s="112"/>
      <c r="U116" s="5"/>
      <c r="V116" s="5"/>
      <c r="W116" s="5"/>
      <c r="X116" s="5"/>
      <c r="Y116" s="5"/>
      <c r="Z116" s="5"/>
      <c r="AA116" s="112"/>
      <c r="AB116" s="5"/>
      <c r="AC116" s="5"/>
    </row>
    <row r="117" ht="18.0" customHeight="1">
      <c r="A117" s="109"/>
      <c r="B117" s="110"/>
      <c r="C117" s="111"/>
      <c r="D117" s="112"/>
      <c r="E117" s="113"/>
      <c r="F117" s="114"/>
      <c r="G117" s="114"/>
      <c r="H117" s="113"/>
      <c r="I117" s="114"/>
      <c r="J117" s="114"/>
      <c r="K117" s="114"/>
      <c r="L117" s="110"/>
      <c r="M117" s="110"/>
      <c r="N117" s="110"/>
      <c r="O117" s="110"/>
      <c r="P117" s="110"/>
      <c r="Q117" s="110"/>
      <c r="R117" s="110"/>
      <c r="S117" s="110"/>
      <c r="T117" s="112"/>
      <c r="U117" s="5"/>
      <c r="V117" s="5"/>
      <c r="W117" s="5"/>
      <c r="X117" s="5"/>
      <c r="Y117" s="5"/>
      <c r="Z117" s="5"/>
      <c r="AA117" s="112"/>
      <c r="AB117" s="5"/>
      <c r="AC117" s="5"/>
    </row>
    <row r="118" ht="18.0" customHeight="1">
      <c r="A118" s="109"/>
      <c r="B118" s="110"/>
      <c r="C118" s="111"/>
      <c r="D118" s="112"/>
      <c r="E118" s="113"/>
      <c r="F118" s="114"/>
      <c r="G118" s="114"/>
      <c r="H118" s="113"/>
      <c r="I118" s="114"/>
      <c r="J118" s="114"/>
      <c r="K118" s="114"/>
      <c r="L118" s="110"/>
      <c r="M118" s="110"/>
      <c r="N118" s="110"/>
      <c r="O118" s="110"/>
      <c r="P118" s="110"/>
      <c r="Q118" s="110"/>
      <c r="R118" s="110"/>
      <c r="S118" s="110"/>
      <c r="T118" s="112"/>
      <c r="U118" s="5"/>
      <c r="V118" s="5"/>
      <c r="W118" s="5"/>
      <c r="X118" s="5"/>
      <c r="Y118" s="5"/>
      <c r="Z118" s="5"/>
      <c r="AA118" s="112"/>
      <c r="AB118" s="5"/>
      <c r="AC118" s="5"/>
    </row>
    <row r="119" ht="18.0" customHeight="1">
      <c r="A119" s="109"/>
      <c r="B119" s="110"/>
      <c r="C119" s="111"/>
      <c r="D119" s="112"/>
      <c r="E119" s="113"/>
      <c r="F119" s="114"/>
      <c r="G119" s="114"/>
      <c r="H119" s="113"/>
      <c r="I119" s="114"/>
      <c r="J119" s="114"/>
      <c r="K119" s="114"/>
      <c r="L119" s="110"/>
      <c r="M119" s="110"/>
      <c r="N119" s="110"/>
      <c r="O119" s="110"/>
      <c r="P119" s="110"/>
      <c r="Q119" s="110"/>
      <c r="R119" s="110"/>
      <c r="S119" s="110"/>
      <c r="T119" s="112"/>
      <c r="U119" s="5"/>
      <c r="V119" s="5"/>
      <c r="W119" s="5"/>
      <c r="X119" s="5"/>
      <c r="Y119" s="5"/>
      <c r="Z119" s="5"/>
      <c r="AA119" s="112"/>
      <c r="AB119" s="5"/>
      <c r="AC119" s="5"/>
    </row>
    <row r="120" ht="18.0" customHeight="1">
      <c r="A120" s="109"/>
      <c r="B120" s="110"/>
      <c r="C120" s="111"/>
      <c r="D120" s="112"/>
      <c r="E120" s="113"/>
      <c r="F120" s="114"/>
      <c r="G120" s="114"/>
      <c r="H120" s="113"/>
      <c r="I120" s="114"/>
      <c r="J120" s="114"/>
      <c r="K120" s="114"/>
      <c r="L120" s="110"/>
      <c r="M120" s="110"/>
      <c r="N120" s="110"/>
      <c r="O120" s="110"/>
      <c r="P120" s="110"/>
      <c r="Q120" s="110"/>
      <c r="R120" s="110"/>
      <c r="S120" s="110"/>
      <c r="T120" s="112"/>
      <c r="U120" s="5"/>
      <c r="V120" s="5"/>
      <c r="W120" s="5"/>
      <c r="X120" s="5"/>
      <c r="Y120" s="5"/>
      <c r="Z120" s="5"/>
      <c r="AA120" s="112"/>
      <c r="AB120" s="5"/>
      <c r="AC120" s="5"/>
    </row>
    <row r="121" ht="18.0" customHeight="1">
      <c r="A121" s="109"/>
      <c r="B121" s="110"/>
      <c r="C121" s="111"/>
      <c r="D121" s="112"/>
      <c r="E121" s="113"/>
      <c r="F121" s="114"/>
      <c r="G121" s="114"/>
      <c r="H121" s="113"/>
      <c r="I121" s="114"/>
      <c r="J121" s="114"/>
      <c r="K121" s="114"/>
      <c r="L121" s="110"/>
      <c r="M121" s="110"/>
      <c r="N121" s="110"/>
      <c r="O121" s="110"/>
      <c r="P121" s="110"/>
      <c r="Q121" s="110"/>
      <c r="R121" s="110"/>
      <c r="S121" s="110"/>
      <c r="T121" s="112"/>
      <c r="U121" s="5"/>
      <c r="V121" s="5"/>
      <c r="W121" s="5"/>
      <c r="X121" s="5"/>
      <c r="Y121" s="5"/>
      <c r="Z121" s="5"/>
      <c r="AA121" s="112"/>
      <c r="AB121" s="5"/>
      <c r="AC121" s="5"/>
    </row>
    <row r="122" ht="18.0" customHeight="1">
      <c r="A122" s="109"/>
      <c r="B122" s="110"/>
      <c r="C122" s="111"/>
      <c r="D122" s="112"/>
      <c r="E122" s="113"/>
      <c r="F122" s="114"/>
      <c r="G122" s="114"/>
      <c r="H122" s="113"/>
      <c r="I122" s="114"/>
      <c r="J122" s="114"/>
      <c r="K122" s="114"/>
      <c r="L122" s="110"/>
      <c r="M122" s="110"/>
      <c r="N122" s="110"/>
      <c r="O122" s="110"/>
      <c r="P122" s="110"/>
      <c r="Q122" s="110"/>
      <c r="R122" s="110"/>
      <c r="S122" s="110"/>
      <c r="T122" s="112"/>
      <c r="U122" s="5"/>
      <c r="V122" s="5"/>
      <c r="W122" s="5"/>
      <c r="X122" s="5"/>
      <c r="Y122" s="5"/>
      <c r="Z122" s="5"/>
      <c r="AA122" s="112"/>
      <c r="AB122" s="5"/>
      <c r="AC122" s="5"/>
    </row>
    <row r="123" ht="18.0" customHeight="1">
      <c r="A123" s="109"/>
      <c r="B123" s="110"/>
      <c r="C123" s="111"/>
      <c r="D123" s="112"/>
      <c r="E123" s="113"/>
      <c r="F123" s="114"/>
      <c r="G123" s="114"/>
      <c r="H123" s="113"/>
      <c r="I123" s="114"/>
      <c r="J123" s="114"/>
      <c r="K123" s="114"/>
      <c r="L123" s="110"/>
      <c r="M123" s="110"/>
      <c r="N123" s="110"/>
      <c r="O123" s="110"/>
      <c r="P123" s="110"/>
      <c r="Q123" s="110"/>
      <c r="R123" s="110"/>
      <c r="S123" s="110"/>
      <c r="T123" s="112"/>
      <c r="U123" s="5"/>
      <c r="V123" s="5"/>
      <c r="W123" s="5"/>
      <c r="X123" s="5"/>
      <c r="Y123" s="5"/>
      <c r="Z123" s="5"/>
      <c r="AA123" s="112"/>
      <c r="AB123" s="5"/>
      <c r="AC123" s="5"/>
    </row>
    <row r="124" ht="18.0" customHeight="1">
      <c r="A124" s="109"/>
      <c r="B124" s="110"/>
      <c r="C124" s="111"/>
      <c r="D124" s="112"/>
      <c r="E124" s="113"/>
      <c r="F124" s="114"/>
      <c r="G124" s="114"/>
      <c r="H124" s="113"/>
      <c r="I124" s="114"/>
      <c r="J124" s="114"/>
      <c r="K124" s="114"/>
      <c r="L124" s="110"/>
      <c r="M124" s="110"/>
      <c r="N124" s="110"/>
      <c r="O124" s="110"/>
      <c r="P124" s="110"/>
      <c r="Q124" s="110"/>
      <c r="R124" s="110"/>
      <c r="S124" s="110"/>
      <c r="T124" s="112"/>
      <c r="U124" s="5"/>
      <c r="V124" s="5"/>
      <c r="W124" s="5"/>
      <c r="X124" s="5"/>
      <c r="Y124" s="5"/>
      <c r="Z124" s="5"/>
      <c r="AA124" s="112"/>
      <c r="AB124" s="5"/>
      <c r="AC124" s="5"/>
    </row>
    <row r="125" ht="18.0" customHeight="1">
      <c r="A125" s="109"/>
      <c r="B125" s="110"/>
      <c r="C125" s="111"/>
      <c r="D125" s="112"/>
      <c r="E125" s="113"/>
      <c r="F125" s="114"/>
      <c r="G125" s="114"/>
      <c r="H125" s="113"/>
      <c r="I125" s="114"/>
      <c r="J125" s="114"/>
      <c r="K125" s="114"/>
      <c r="L125" s="110"/>
      <c r="M125" s="110"/>
      <c r="N125" s="110"/>
      <c r="O125" s="110"/>
      <c r="P125" s="110"/>
      <c r="Q125" s="110"/>
      <c r="R125" s="110"/>
      <c r="S125" s="110"/>
      <c r="T125" s="112"/>
      <c r="U125" s="5"/>
      <c r="V125" s="5"/>
      <c r="W125" s="5"/>
      <c r="X125" s="5"/>
      <c r="Y125" s="5"/>
      <c r="Z125" s="5"/>
      <c r="AA125" s="112"/>
      <c r="AB125" s="5"/>
      <c r="AC125" s="5"/>
    </row>
    <row r="126" ht="18.0" customHeight="1">
      <c r="A126" s="109"/>
      <c r="B126" s="110"/>
      <c r="C126" s="111"/>
      <c r="D126" s="112"/>
      <c r="E126" s="113"/>
      <c r="F126" s="114"/>
      <c r="G126" s="114"/>
      <c r="H126" s="113"/>
      <c r="I126" s="114"/>
      <c r="J126" s="114"/>
      <c r="K126" s="114"/>
      <c r="L126" s="110"/>
      <c r="M126" s="110"/>
      <c r="N126" s="110"/>
      <c r="O126" s="110"/>
      <c r="P126" s="110"/>
      <c r="Q126" s="110"/>
      <c r="R126" s="110"/>
      <c r="S126" s="110"/>
      <c r="T126" s="112"/>
      <c r="U126" s="5"/>
      <c r="V126" s="5"/>
      <c r="W126" s="5"/>
      <c r="X126" s="5"/>
      <c r="Y126" s="5"/>
      <c r="Z126" s="5"/>
      <c r="AA126" s="112"/>
      <c r="AB126" s="5"/>
      <c r="AC126" s="5"/>
    </row>
    <row r="127" ht="18.0" customHeight="1">
      <c r="A127" s="109"/>
      <c r="B127" s="110"/>
      <c r="C127" s="111"/>
      <c r="D127" s="112"/>
      <c r="E127" s="113"/>
      <c r="F127" s="114"/>
      <c r="G127" s="114"/>
      <c r="H127" s="113"/>
      <c r="I127" s="114"/>
      <c r="J127" s="114"/>
      <c r="K127" s="114"/>
      <c r="L127" s="110"/>
      <c r="M127" s="110"/>
      <c r="N127" s="110"/>
      <c r="O127" s="110"/>
      <c r="P127" s="110"/>
      <c r="Q127" s="110"/>
      <c r="R127" s="110"/>
      <c r="S127" s="110"/>
      <c r="T127" s="112"/>
      <c r="U127" s="5"/>
      <c r="V127" s="5"/>
      <c r="W127" s="5"/>
      <c r="X127" s="5"/>
      <c r="Y127" s="5"/>
      <c r="Z127" s="5"/>
      <c r="AA127" s="112"/>
      <c r="AB127" s="5"/>
      <c r="AC127" s="5"/>
    </row>
    <row r="128" ht="18.0" customHeight="1">
      <c r="A128" s="109"/>
      <c r="B128" s="110"/>
      <c r="C128" s="111"/>
      <c r="D128" s="112"/>
      <c r="E128" s="113"/>
      <c r="F128" s="114"/>
      <c r="G128" s="114"/>
      <c r="H128" s="113"/>
      <c r="I128" s="114"/>
      <c r="J128" s="114"/>
      <c r="K128" s="114"/>
      <c r="L128" s="110"/>
      <c r="M128" s="110"/>
      <c r="N128" s="110"/>
      <c r="O128" s="110"/>
      <c r="P128" s="110"/>
      <c r="Q128" s="110"/>
      <c r="R128" s="110"/>
      <c r="S128" s="110"/>
      <c r="T128" s="112"/>
      <c r="U128" s="5"/>
      <c r="V128" s="5"/>
      <c r="W128" s="5"/>
      <c r="X128" s="5"/>
      <c r="Y128" s="5"/>
      <c r="Z128" s="5"/>
      <c r="AA128" s="112"/>
      <c r="AB128" s="5"/>
      <c r="AC128" s="5"/>
    </row>
    <row r="129" ht="18.0" customHeight="1">
      <c r="A129" s="109"/>
      <c r="B129" s="110"/>
      <c r="C129" s="111"/>
      <c r="D129" s="112"/>
      <c r="E129" s="113"/>
      <c r="F129" s="114"/>
      <c r="G129" s="114"/>
      <c r="H129" s="113"/>
      <c r="I129" s="114"/>
      <c r="J129" s="114"/>
      <c r="K129" s="114"/>
      <c r="L129" s="110"/>
      <c r="M129" s="110"/>
      <c r="N129" s="110"/>
      <c r="O129" s="110"/>
      <c r="P129" s="110"/>
      <c r="Q129" s="110"/>
      <c r="R129" s="110"/>
      <c r="S129" s="110"/>
      <c r="T129" s="112"/>
      <c r="U129" s="5"/>
      <c r="V129" s="5"/>
      <c r="W129" s="5"/>
      <c r="X129" s="5"/>
      <c r="Y129" s="5"/>
      <c r="Z129" s="5"/>
      <c r="AA129" s="112"/>
      <c r="AB129" s="5"/>
      <c r="AC129" s="5"/>
    </row>
    <row r="130" ht="18.0" customHeight="1">
      <c r="A130" s="109"/>
      <c r="B130" s="110"/>
      <c r="C130" s="111"/>
      <c r="D130" s="112"/>
      <c r="E130" s="113"/>
      <c r="F130" s="114"/>
      <c r="G130" s="114"/>
      <c r="H130" s="113"/>
      <c r="I130" s="114"/>
      <c r="J130" s="114"/>
      <c r="K130" s="114"/>
      <c r="L130" s="110"/>
      <c r="M130" s="110"/>
      <c r="N130" s="110"/>
      <c r="O130" s="110"/>
      <c r="P130" s="110"/>
      <c r="Q130" s="110"/>
      <c r="R130" s="110"/>
      <c r="S130" s="110"/>
      <c r="T130" s="112"/>
      <c r="U130" s="5"/>
      <c r="V130" s="5"/>
      <c r="W130" s="5"/>
      <c r="X130" s="5"/>
      <c r="Y130" s="5"/>
      <c r="Z130" s="5"/>
      <c r="AA130" s="112"/>
      <c r="AB130" s="5"/>
      <c r="AC130" s="5"/>
    </row>
    <row r="131" ht="18.0" customHeight="1">
      <c r="A131" s="109"/>
      <c r="B131" s="110"/>
      <c r="C131" s="111"/>
      <c r="D131" s="112"/>
      <c r="E131" s="113"/>
      <c r="F131" s="114"/>
      <c r="G131" s="114"/>
      <c r="H131" s="113"/>
      <c r="I131" s="114"/>
      <c r="J131" s="114"/>
      <c r="K131" s="114"/>
      <c r="L131" s="110"/>
      <c r="M131" s="110"/>
      <c r="N131" s="110"/>
      <c r="O131" s="110"/>
      <c r="P131" s="110"/>
      <c r="Q131" s="110"/>
      <c r="R131" s="110"/>
      <c r="S131" s="110"/>
      <c r="T131" s="112"/>
      <c r="U131" s="5"/>
      <c r="V131" s="5"/>
      <c r="W131" s="5"/>
      <c r="X131" s="5"/>
      <c r="Y131" s="5"/>
      <c r="Z131" s="5"/>
      <c r="AA131" s="112"/>
      <c r="AB131" s="5"/>
      <c r="AC131" s="5"/>
    </row>
    <row r="132" ht="18.0" customHeight="1">
      <c r="A132" s="109"/>
      <c r="B132" s="110"/>
      <c r="C132" s="111"/>
      <c r="D132" s="112"/>
      <c r="E132" s="113"/>
      <c r="F132" s="114"/>
      <c r="G132" s="114"/>
      <c r="H132" s="113"/>
      <c r="I132" s="114"/>
      <c r="J132" s="114"/>
      <c r="K132" s="114"/>
      <c r="L132" s="110"/>
      <c r="M132" s="110"/>
      <c r="N132" s="110"/>
      <c r="O132" s="110"/>
      <c r="P132" s="110"/>
      <c r="Q132" s="110"/>
      <c r="R132" s="110"/>
      <c r="S132" s="110"/>
      <c r="T132" s="112"/>
      <c r="U132" s="5"/>
      <c r="V132" s="5"/>
      <c r="W132" s="5"/>
      <c r="X132" s="5"/>
      <c r="Y132" s="5"/>
      <c r="Z132" s="5"/>
      <c r="AA132" s="112"/>
      <c r="AB132" s="5"/>
      <c r="AC132" s="5"/>
    </row>
    <row r="133" ht="18.0" customHeight="1">
      <c r="A133" s="109"/>
      <c r="B133" s="110"/>
      <c r="C133" s="111"/>
      <c r="D133" s="112"/>
      <c r="E133" s="113"/>
      <c r="F133" s="114"/>
      <c r="G133" s="114"/>
      <c r="H133" s="113"/>
      <c r="I133" s="114"/>
      <c r="J133" s="114"/>
      <c r="K133" s="114"/>
      <c r="L133" s="110"/>
      <c r="M133" s="110"/>
      <c r="N133" s="110"/>
      <c r="O133" s="110"/>
      <c r="P133" s="110"/>
      <c r="Q133" s="110"/>
      <c r="R133" s="110"/>
      <c r="S133" s="110"/>
      <c r="T133" s="112"/>
      <c r="U133" s="5"/>
      <c r="V133" s="5"/>
      <c r="W133" s="5"/>
      <c r="X133" s="5"/>
      <c r="Y133" s="5"/>
      <c r="Z133" s="5"/>
      <c r="AA133" s="112"/>
      <c r="AB133" s="5"/>
      <c r="AC133" s="5"/>
    </row>
    <row r="134" ht="18.0" customHeight="1">
      <c r="A134" s="109"/>
      <c r="B134" s="110"/>
      <c r="C134" s="111"/>
      <c r="D134" s="112"/>
      <c r="E134" s="113"/>
      <c r="F134" s="114"/>
      <c r="G134" s="114"/>
      <c r="H134" s="113"/>
      <c r="I134" s="114"/>
      <c r="J134" s="114"/>
      <c r="K134" s="114"/>
      <c r="L134" s="110"/>
      <c r="M134" s="110"/>
      <c r="N134" s="110"/>
      <c r="O134" s="110"/>
      <c r="P134" s="110"/>
      <c r="Q134" s="110"/>
      <c r="R134" s="110"/>
      <c r="S134" s="110"/>
      <c r="T134" s="112"/>
      <c r="U134" s="5"/>
      <c r="V134" s="5"/>
      <c r="W134" s="5"/>
      <c r="X134" s="5"/>
      <c r="Y134" s="5"/>
      <c r="Z134" s="5"/>
      <c r="AA134" s="112"/>
      <c r="AB134" s="5"/>
      <c r="AC134" s="5"/>
    </row>
    <row r="135" ht="18.0" customHeight="1">
      <c r="A135" s="109"/>
      <c r="B135" s="110"/>
      <c r="C135" s="111"/>
      <c r="D135" s="112"/>
      <c r="E135" s="113"/>
      <c r="F135" s="114"/>
      <c r="G135" s="114"/>
      <c r="H135" s="113"/>
      <c r="I135" s="114"/>
      <c r="J135" s="114"/>
      <c r="K135" s="114"/>
      <c r="L135" s="110"/>
      <c r="M135" s="110"/>
      <c r="N135" s="110"/>
      <c r="O135" s="110"/>
      <c r="P135" s="110"/>
      <c r="Q135" s="110"/>
      <c r="R135" s="110"/>
      <c r="S135" s="110"/>
      <c r="T135" s="112"/>
      <c r="U135" s="5"/>
      <c r="V135" s="5"/>
      <c r="W135" s="5"/>
      <c r="X135" s="5"/>
      <c r="Y135" s="5"/>
      <c r="Z135" s="5"/>
      <c r="AA135" s="112"/>
      <c r="AB135" s="5"/>
      <c r="AC135" s="5"/>
    </row>
    <row r="136" ht="18.0" customHeight="1">
      <c r="A136" s="109"/>
      <c r="B136" s="110"/>
      <c r="C136" s="111"/>
      <c r="D136" s="112"/>
      <c r="E136" s="113"/>
      <c r="F136" s="114"/>
      <c r="G136" s="114"/>
      <c r="H136" s="113"/>
      <c r="I136" s="114"/>
      <c r="J136" s="114"/>
      <c r="K136" s="114"/>
      <c r="L136" s="110"/>
      <c r="M136" s="110"/>
      <c r="N136" s="110"/>
      <c r="O136" s="110"/>
      <c r="P136" s="110"/>
      <c r="Q136" s="110"/>
      <c r="R136" s="110"/>
      <c r="S136" s="110"/>
      <c r="T136" s="112"/>
      <c r="U136" s="5"/>
      <c r="V136" s="5"/>
      <c r="W136" s="5"/>
      <c r="X136" s="5"/>
      <c r="Y136" s="5"/>
      <c r="Z136" s="5"/>
      <c r="AA136" s="112"/>
      <c r="AB136" s="5"/>
      <c r="AC136" s="5"/>
    </row>
    <row r="137" ht="18.0" customHeight="1">
      <c r="A137" s="109"/>
      <c r="B137" s="110"/>
      <c r="C137" s="111"/>
      <c r="D137" s="112"/>
      <c r="E137" s="113"/>
      <c r="F137" s="114"/>
      <c r="G137" s="114"/>
      <c r="H137" s="113"/>
      <c r="I137" s="114"/>
      <c r="J137" s="114"/>
      <c r="K137" s="114"/>
      <c r="L137" s="110"/>
      <c r="M137" s="110"/>
      <c r="N137" s="110"/>
      <c r="O137" s="110"/>
      <c r="P137" s="110"/>
      <c r="Q137" s="110"/>
      <c r="R137" s="110"/>
      <c r="S137" s="110"/>
      <c r="T137" s="112"/>
      <c r="U137" s="5"/>
      <c r="V137" s="5"/>
      <c r="W137" s="5"/>
      <c r="X137" s="5"/>
      <c r="Y137" s="5"/>
      <c r="Z137" s="5"/>
      <c r="AA137" s="112"/>
      <c r="AB137" s="5"/>
      <c r="AC137" s="5"/>
    </row>
    <row r="138" ht="18.0" customHeight="1">
      <c r="A138" s="109"/>
      <c r="B138" s="110"/>
      <c r="C138" s="111"/>
      <c r="D138" s="112"/>
      <c r="E138" s="113"/>
      <c r="F138" s="114"/>
      <c r="G138" s="114"/>
      <c r="H138" s="113"/>
      <c r="I138" s="114"/>
      <c r="J138" s="114"/>
      <c r="K138" s="114"/>
      <c r="L138" s="110"/>
      <c r="M138" s="110"/>
      <c r="N138" s="110"/>
      <c r="O138" s="110"/>
      <c r="P138" s="110"/>
      <c r="Q138" s="110"/>
      <c r="R138" s="110"/>
      <c r="S138" s="110"/>
      <c r="T138" s="112"/>
      <c r="U138" s="5"/>
      <c r="V138" s="5"/>
      <c r="W138" s="5"/>
      <c r="X138" s="5"/>
      <c r="Y138" s="5"/>
      <c r="Z138" s="5"/>
      <c r="AA138" s="112"/>
      <c r="AB138" s="5"/>
      <c r="AC138" s="5"/>
    </row>
    <row r="139" ht="18.0" customHeight="1">
      <c r="A139" s="109"/>
      <c r="B139" s="110"/>
      <c r="C139" s="111"/>
      <c r="D139" s="112"/>
      <c r="E139" s="113"/>
      <c r="F139" s="114"/>
      <c r="G139" s="114"/>
      <c r="H139" s="113"/>
      <c r="I139" s="114"/>
      <c r="J139" s="114"/>
      <c r="K139" s="114"/>
      <c r="L139" s="110"/>
      <c r="M139" s="110"/>
      <c r="N139" s="110"/>
      <c r="O139" s="110"/>
      <c r="P139" s="110"/>
      <c r="Q139" s="110"/>
      <c r="R139" s="110"/>
      <c r="S139" s="110"/>
      <c r="T139" s="112"/>
      <c r="U139" s="5"/>
      <c r="V139" s="5"/>
      <c r="W139" s="5"/>
      <c r="X139" s="5"/>
      <c r="Y139" s="5"/>
      <c r="Z139" s="5"/>
      <c r="AA139" s="112"/>
      <c r="AB139" s="5"/>
      <c r="AC139" s="5"/>
    </row>
    <row r="140" ht="18.0" customHeight="1">
      <c r="A140" s="109"/>
      <c r="B140" s="110"/>
      <c r="C140" s="111"/>
      <c r="D140" s="112"/>
      <c r="E140" s="113"/>
      <c r="F140" s="114"/>
      <c r="G140" s="114"/>
      <c r="H140" s="113"/>
      <c r="I140" s="114"/>
      <c r="J140" s="114"/>
      <c r="K140" s="114"/>
      <c r="L140" s="110"/>
      <c r="M140" s="110"/>
      <c r="N140" s="110"/>
      <c r="O140" s="110"/>
      <c r="P140" s="110"/>
      <c r="Q140" s="110"/>
      <c r="R140" s="110"/>
      <c r="S140" s="110"/>
      <c r="T140" s="112"/>
      <c r="U140" s="5"/>
      <c r="V140" s="5"/>
      <c r="W140" s="5"/>
      <c r="X140" s="5"/>
      <c r="Y140" s="5"/>
      <c r="Z140" s="5"/>
      <c r="AA140" s="112"/>
      <c r="AB140" s="5"/>
      <c r="AC140" s="5"/>
    </row>
    <row r="141" ht="18.0" customHeight="1">
      <c r="A141" s="109"/>
      <c r="B141" s="110"/>
      <c r="C141" s="111"/>
      <c r="D141" s="112"/>
      <c r="E141" s="113"/>
      <c r="F141" s="114"/>
      <c r="G141" s="114"/>
      <c r="H141" s="113"/>
      <c r="I141" s="114"/>
      <c r="J141" s="114"/>
      <c r="K141" s="114"/>
      <c r="L141" s="110"/>
      <c r="M141" s="110"/>
      <c r="N141" s="110"/>
      <c r="O141" s="110"/>
      <c r="P141" s="110"/>
      <c r="Q141" s="110"/>
      <c r="R141" s="110"/>
      <c r="S141" s="110"/>
      <c r="T141" s="112"/>
      <c r="U141" s="5"/>
      <c r="V141" s="5"/>
      <c r="W141" s="5"/>
      <c r="X141" s="5"/>
      <c r="Y141" s="5"/>
      <c r="Z141" s="5"/>
      <c r="AA141" s="112"/>
      <c r="AB141" s="5"/>
      <c r="AC141" s="5"/>
    </row>
    <row r="142" ht="18.0" customHeight="1">
      <c r="A142" s="109"/>
      <c r="B142" s="110"/>
      <c r="C142" s="111"/>
      <c r="D142" s="112"/>
      <c r="E142" s="113"/>
      <c r="F142" s="114"/>
      <c r="G142" s="114"/>
      <c r="H142" s="113"/>
      <c r="I142" s="114"/>
      <c r="J142" s="114"/>
      <c r="K142" s="114"/>
      <c r="L142" s="110"/>
      <c r="M142" s="110"/>
      <c r="N142" s="110"/>
      <c r="O142" s="110"/>
      <c r="P142" s="110"/>
      <c r="Q142" s="110"/>
      <c r="R142" s="110"/>
      <c r="S142" s="110"/>
      <c r="T142" s="112"/>
      <c r="U142" s="5"/>
      <c r="V142" s="5"/>
      <c r="W142" s="5"/>
      <c r="X142" s="5"/>
      <c r="Y142" s="5"/>
      <c r="Z142" s="5"/>
      <c r="AA142" s="112"/>
      <c r="AB142" s="5"/>
      <c r="AC142" s="5"/>
    </row>
    <row r="143" ht="18.0" customHeight="1">
      <c r="A143" s="109"/>
      <c r="B143" s="110"/>
      <c r="C143" s="111"/>
      <c r="D143" s="112"/>
      <c r="E143" s="113"/>
      <c r="F143" s="114"/>
      <c r="G143" s="114"/>
      <c r="H143" s="113"/>
      <c r="I143" s="114"/>
      <c r="J143" s="114"/>
      <c r="K143" s="114"/>
      <c r="L143" s="110"/>
      <c r="M143" s="110"/>
      <c r="N143" s="110"/>
      <c r="O143" s="110"/>
      <c r="P143" s="110"/>
      <c r="Q143" s="110"/>
      <c r="R143" s="110"/>
      <c r="S143" s="110"/>
      <c r="T143" s="112"/>
      <c r="U143" s="5"/>
      <c r="V143" s="5"/>
      <c r="W143" s="5"/>
      <c r="X143" s="5"/>
      <c r="Y143" s="5"/>
      <c r="Z143" s="5"/>
      <c r="AA143" s="112"/>
      <c r="AB143" s="5"/>
      <c r="AC143" s="5"/>
    </row>
    <row r="144" ht="18.0" customHeight="1">
      <c r="A144" s="109"/>
      <c r="B144" s="110"/>
      <c r="C144" s="111"/>
      <c r="D144" s="112"/>
      <c r="E144" s="113"/>
      <c r="F144" s="114"/>
      <c r="G144" s="114"/>
      <c r="H144" s="113"/>
      <c r="I144" s="114"/>
      <c r="J144" s="114"/>
      <c r="K144" s="114"/>
      <c r="L144" s="110"/>
      <c r="M144" s="110"/>
      <c r="N144" s="110"/>
      <c r="O144" s="110"/>
      <c r="P144" s="110"/>
      <c r="Q144" s="110"/>
      <c r="R144" s="110"/>
      <c r="S144" s="110"/>
      <c r="T144" s="112"/>
      <c r="U144" s="5"/>
      <c r="V144" s="5"/>
      <c r="W144" s="5"/>
      <c r="X144" s="5"/>
      <c r="Y144" s="5"/>
      <c r="Z144" s="5"/>
      <c r="AA144" s="112"/>
      <c r="AB144" s="5"/>
      <c r="AC144" s="5"/>
    </row>
    <row r="145" ht="18.0" customHeight="1">
      <c r="A145" s="109"/>
      <c r="B145" s="110"/>
      <c r="C145" s="111"/>
      <c r="D145" s="112"/>
      <c r="E145" s="113"/>
      <c r="F145" s="114"/>
      <c r="G145" s="114"/>
      <c r="H145" s="113"/>
      <c r="I145" s="114"/>
      <c r="J145" s="114"/>
      <c r="K145" s="114"/>
      <c r="L145" s="110"/>
      <c r="M145" s="110"/>
      <c r="N145" s="110"/>
      <c r="O145" s="110"/>
      <c r="P145" s="110"/>
      <c r="Q145" s="110"/>
      <c r="R145" s="110"/>
      <c r="S145" s="110"/>
      <c r="T145" s="112"/>
      <c r="U145" s="5"/>
      <c r="V145" s="5"/>
      <c r="W145" s="5"/>
      <c r="X145" s="5"/>
      <c r="Y145" s="5"/>
      <c r="Z145" s="5"/>
      <c r="AA145" s="112"/>
      <c r="AB145" s="5"/>
      <c r="AC145" s="5"/>
    </row>
    <row r="146" ht="18.0" customHeight="1">
      <c r="A146" s="109"/>
      <c r="B146" s="110"/>
      <c r="C146" s="111"/>
      <c r="D146" s="112"/>
      <c r="E146" s="113"/>
      <c r="F146" s="114"/>
      <c r="G146" s="114"/>
      <c r="H146" s="113"/>
      <c r="I146" s="114"/>
      <c r="J146" s="114"/>
      <c r="K146" s="114"/>
      <c r="L146" s="110"/>
      <c r="M146" s="110"/>
      <c r="N146" s="110"/>
      <c r="O146" s="110"/>
      <c r="P146" s="110"/>
      <c r="Q146" s="110"/>
      <c r="R146" s="110"/>
      <c r="S146" s="110"/>
      <c r="T146" s="112"/>
      <c r="U146" s="5"/>
      <c r="V146" s="5"/>
      <c r="W146" s="5"/>
      <c r="X146" s="5"/>
      <c r="Y146" s="5"/>
      <c r="Z146" s="5"/>
      <c r="AA146" s="112"/>
      <c r="AB146" s="5"/>
      <c r="AC146" s="5"/>
    </row>
    <row r="147" ht="18.0" customHeight="1">
      <c r="A147" s="109"/>
      <c r="B147" s="110"/>
      <c r="C147" s="111"/>
      <c r="D147" s="112"/>
      <c r="E147" s="113"/>
      <c r="F147" s="114"/>
      <c r="G147" s="114"/>
      <c r="H147" s="113"/>
      <c r="I147" s="114"/>
      <c r="J147" s="114"/>
      <c r="K147" s="114"/>
      <c r="L147" s="110"/>
      <c r="M147" s="110"/>
      <c r="N147" s="110"/>
      <c r="O147" s="110"/>
      <c r="P147" s="110"/>
      <c r="Q147" s="110"/>
      <c r="R147" s="110"/>
      <c r="S147" s="110"/>
      <c r="T147" s="112"/>
      <c r="U147" s="5"/>
      <c r="V147" s="5"/>
      <c r="W147" s="5"/>
      <c r="X147" s="5"/>
      <c r="Y147" s="5"/>
      <c r="Z147" s="5"/>
      <c r="AA147" s="112"/>
      <c r="AB147" s="5"/>
      <c r="AC147" s="5"/>
    </row>
    <row r="148" ht="18.0" customHeight="1">
      <c r="A148" s="109"/>
      <c r="B148" s="110"/>
      <c r="C148" s="111"/>
      <c r="D148" s="112"/>
      <c r="E148" s="113"/>
      <c r="F148" s="114"/>
      <c r="G148" s="114"/>
      <c r="H148" s="113"/>
      <c r="I148" s="114"/>
      <c r="J148" s="114"/>
      <c r="K148" s="114"/>
      <c r="L148" s="110"/>
      <c r="M148" s="110"/>
      <c r="N148" s="110"/>
      <c r="O148" s="110"/>
      <c r="P148" s="110"/>
      <c r="Q148" s="110"/>
      <c r="R148" s="110"/>
      <c r="S148" s="110"/>
      <c r="T148" s="112"/>
      <c r="U148" s="5"/>
      <c r="V148" s="5"/>
      <c r="W148" s="5"/>
      <c r="X148" s="5"/>
      <c r="Y148" s="5"/>
      <c r="Z148" s="5"/>
      <c r="AA148" s="112"/>
      <c r="AB148" s="5"/>
      <c r="AC148" s="5"/>
    </row>
    <row r="149" ht="18.0" customHeight="1">
      <c r="A149" s="109"/>
      <c r="B149" s="110"/>
      <c r="C149" s="111"/>
      <c r="D149" s="112"/>
      <c r="E149" s="113"/>
      <c r="F149" s="114"/>
      <c r="G149" s="114"/>
      <c r="H149" s="113"/>
      <c r="I149" s="114"/>
      <c r="J149" s="114"/>
      <c r="K149" s="114"/>
      <c r="L149" s="110"/>
      <c r="M149" s="110"/>
      <c r="N149" s="110"/>
      <c r="O149" s="110"/>
      <c r="P149" s="110"/>
      <c r="Q149" s="110"/>
      <c r="R149" s="110"/>
      <c r="S149" s="110"/>
      <c r="T149" s="112"/>
      <c r="U149" s="5"/>
      <c r="V149" s="5"/>
      <c r="W149" s="5"/>
      <c r="X149" s="5"/>
      <c r="Y149" s="5"/>
      <c r="Z149" s="5"/>
      <c r="AA149" s="112"/>
      <c r="AB149" s="5"/>
      <c r="AC149" s="5"/>
    </row>
    <row r="150" ht="18.0" customHeight="1">
      <c r="A150" s="109"/>
      <c r="B150" s="110"/>
      <c r="C150" s="111"/>
      <c r="D150" s="112"/>
      <c r="E150" s="113"/>
      <c r="F150" s="114"/>
      <c r="G150" s="114"/>
      <c r="H150" s="113"/>
      <c r="I150" s="114"/>
      <c r="J150" s="114"/>
      <c r="K150" s="114"/>
      <c r="L150" s="110"/>
      <c r="M150" s="110"/>
      <c r="N150" s="110"/>
      <c r="O150" s="110"/>
      <c r="P150" s="110"/>
      <c r="Q150" s="110"/>
      <c r="R150" s="110"/>
      <c r="S150" s="110"/>
      <c r="T150" s="112"/>
      <c r="U150" s="5"/>
      <c r="V150" s="5"/>
      <c r="W150" s="5"/>
      <c r="X150" s="5"/>
      <c r="Y150" s="5"/>
      <c r="Z150" s="5"/>
      <c r="AA150" s="112"/>
      <c r="AB150" s="5"/>
      <c r="AC150" s="5"/>
    </row>
    <row r="151" ht="18.0" customHeight="1">
      <c r="A151" s="109"/>
      <c r="B151" s="110"/>
      <c r="C151" s="111"/>
      <c r="D151" s="112"/>
      <c r="E151" s="113"/>
      <c r="F151" s="114"/>
      <c r="G151" s="114"/>
      <c r="H151" s="113"/>
      <c r="I151" s="114"/>
      <c r="J151" s="114"/>
      <c r="K151" s="114"/>
      <c r="L151" s="110"/>
      <c r="M151" s="110"/>
      <c r="N151" s="110"/>
      <c r="O151" s="110"/>
      <c r="P151" s="110"/>
      <c r="Q151" s="110"/>
      <c r="R151" s="110"/>
      <c r="S151" s="110"/>
      <c r="T151" s="112"/>
      <c r="U151" s="5"/>
      <c r="V151" s="5"/>
      <c r="W151" s="5"/>
      <c r="X151" s="5"/>
      <c r="Y151" s="5"/>
      <c r="Z151" s="5"/>
      <c r="AA151" s="112"/>
      <c r="AB151" s="5"/>
      <c r="AC151" s="5"/>
    </row>
    <row r="152" ht="18.0" customHeight="1">
      <c r="A152" s="109"/>
      <c r="B152" s="110"/>
      <c r="C152" s="111"/>
      <c r="D152" s="112"/>
      <c r="E152" s="113"/>
      <c r="F152" s="114"/>
      <c r="G152" s="114"/>
      <c r="H152" s="113"/>
      <c r="I152" s="114"/>
      <c r="J152" s="114"/>
      <c r="K152" s="114"/>
      <c r="L152" s="110"/>
      <c r="M152" s="110"/>
      <c r="N152" s="110"/>
      <c r="O152" s="110"/>
      <c r="P152" s="110"/>
      <c r="Q152" s="110"/>
      <c r="R152" s="110"/>
      <c r="S152" s="110"/>
      <c r="T152" s="112"/>
      <c r="U152" s="5"/>
      <c r="V152" s="5"/>
      <c r="W152" s="5"/>
      <c r="X152" s="5"/>
      <c r="Y152" s="5"/>
      <c r="Z152" s="5"/>
      <c r="AA152" s="112"/>
      <c r="AB152" s="5"/>
      <c r="AC152" s="5"/>
    </row>
    <row r="153" ht="18.0" customHeight="1">
      <c r="A153" s="109"/>
      <c r="B153" s="110"/>
      <c r="C153" s="111"/>
      <c r="D153" s="112"/>
      <c r="E153" s="113"/>
      <c r="F153" s="114"/>
      <c r="G153" s="114"/>
      <c r="H153" s="113"/>
      <c r="I153" s="114"/>
      <c r="J153" s="114"/>
      <c r="K153" s="114"/>
      <c r="L153" s="110"/>
      <c r="M153" s="110"/>
      <c r="N153" s="110"/>
      <c r="O153" s="110"/>
      <c r="P153" s="110"/>
      <c r="Q153" s="110"/>
      <c r="R153" s="110"/>
      <c r="S153" s="110"/>
      <c r="T153" s="112"/>
      <c r="U153" s="5"/>
      <c r="V153" s="5"/>
      <c r="W153" s="5"/>
      <c r="X153" s="5"/>
      <c r="Y153" s="5"/>
      <c r="Z153" s="5"/>
      <c r="AA153" s="112"/>
      <c r="AB153" s="5"/>
      <c r="AC153" s="5"/>
    </row>
    <row r="154" ht="18.0" customHeight="1">
      <c r="A154" s="109"/>
      <c r="B154" s="110"/>
      <c r="C154" s="111"/>
      <c r="D154" s="112"/>
      <c r="E154" s="113"/>
      <c r="F154" s="114"/>
      <c r="G154" s="114"/>
      <c r="H154" s="113"/>
      <c r="I154" s="114"/>
      <c r="J154" s="114"/>
      <c r="K154" s="114"/>
      <c r="L154" s="110"/>
      <c r="M154" s="110"/>
      <c r="N154" s="110"/>
      <c r="O154" s="110"/>
      <c r="P154" s="110"/>
      <c r="Q154" s="110"/>
      <c r="R154" s="110"/>
      <c r="S154" s="110"/>
      <c r="T154" s="112"/>
      <c r="U154" s="5"/>
      <c r="V154" s="5"/>
      <c r="W154" s="5"/>
      <c r="X154" s="5"/>
      <c r="Y154" s="5"/>
      <c r="Z154" s="5"/>
      <c r="AA154" s="112"/>
      <c r="AB154" s="5"/>
      <c r="AC154" s="5"/>
    </row>
    <row r="155" ht="18.0" customHeight="1">
      <c r="A155" s="109"/>
      <c r="B155" s="110"/>
      <c r="C155" s="111"/>
      <c r="D155" s="112"/>
      <c r="E155" s="113"/>
      <c r="F155" s="114"/>
      <c r="G155" s="114"/>
      <c r="H155" s="113"/>
      <c r="I155" s="114"/>
      <c r="J155" s="114"/>
      <c r="K155" s="114"/>
      <c r="L155" s="110"/>
      <c r="M155" s="110"/>
      <c r="N155" s="110"/>
      <c r="O155" s="110"/>
      <c r="P155" s="110"/>
      <c r="Q155" s="110"/>
      <c r="R155" s="110"/>
      <c r="S155" s="110"/>
      <c r="T155" s="112"/>
      <c r="U155" s="5"/>
      <c r="V155" s="5"/>
      <c r="W155" s="5"/>
      <c r="X155" s="5"/>
      <c r="Y155" s="5"/>
      <c r="Z155" s="5"/>
      <c r="AA155" s="112"/>
      <c r="AB155" s="5"/>
      <c r="AC155" s="5"/>
    </row>
    <row r="156" ht="18.0" customHeight="1">
      <c r="A156" s="109"/>
      <c r="B156" s="110"/>
      <c r="C156" s="111"/>
      <c r="D156" s="112"/>
      <c r="E156" s="113"/>
      <c r="F156" s="114"/>
      <c r="G156" s="114"/>
      <c r="H156" s="113"/>
      <c r="I156" s="114"/>
      <c r="J156" s="114"/>
      <c r="K156" s="114"/>
      <c r="L156" s="110"/>
      <c r="M156" s="110"/>
      <c r="N156" s="110"/>
      <c r="O156" s="110"/>
      <c r="P156" s="110"/>
      <c r="Q156" s="110"/>
      <c r="R156" s="110"/>
      <c r="S156" s="110"/>
      <c r="T156" s="112"/>
      <c r="U156" s="5"/>
      <c r="V156" s="5"/>
      <c r="W156" s="5"/>
      <c r="X156" s="5"/>
      <c r="Y156" s="5"/>
      <c r="Z156" s="5"/>
      <c r="AA156" s="112"/>
      <c r="AB156" s="5"/>
      <c r="AC156" s="5"/>
    </row>
    <row r="157" ht="18.0" customHeight="1">
      <c r="A157" s="109"/>
      <c r="B157" s="110"/>
      <c r="C157" s="111"/>
      <c r="D157" s="112"/>
      <c r="E157" s="113"/>
      <c r="F157" s="114"/>
      <c r="G157" s="114"/>
      <c r="H157" s="113"/>
      <c r="I157" s="114"/>
      <c r="J157" s="114"/>
      <c r="K157" s="114"/>
      <c r="L157" s="110"/>
      <c r="M157" s="110"/>
      <c r="N157" s="110"/>
      <c r="O157" s="110"/>
      <c r="P157" s="110"/>
      <c r="Q157" s="110"/>
      <c r="R157" s="110"/>
      <c r="S157" s="110"/>
      <c r="T157" s="112"/>
      <c r="U157" s="5"/>
      <c r="V157" s="5"/>
      <c r="W157" s="5"/>
      <c r="X157" s="5"/>
      <c r="Y157" s="5"/>
      <c r="Z157" s="5"/>
      <c r="AA157" s="112"/>
      <c r="AB157" s="5"/>
      <c r="AC157" s="5"/>
    </row>
    <row r="158" ht="18.0" customHeight="1">
      <c r="A158" s="109"/>
      <c r="B158" s="110"/>
      <c r="C158" s="111"/>
      <c r="D158" s="112"/>
      <c r="E158" s="113"/>
      <c r="F158" s="114"/>
      <c r="G158" s="114"/>
      <c r="H158" s="113"/>
      <c r="I158" s="114"/>
      <c r="J158" s="114"/>
      <c r="K158" s="114"/>
      <c r="L158" s="110"/>
      <c r="M158" s="110"/>
      <c r="N158" s="110"/>
      <c r="O158" s="110"/>
      <c r="P158" s="110"/>
      <c r="Q158" s="110"/>
      <c r="R158" s="110"/>
      <c r="S158" s="110"/>
      <c r="T158" s="112"/>
      <c r="U158" s="5"/>
      <c r="V158" s="5"/>
      <c r="W158" s="5"/>
      <c r="X158" s="5"/>
      <c r="Y158" s="5"/>
      <c r="Z158" s="5"/>
      <c r="AA158" s="112"/>
      <c r="AB158" s="5"/>
      <c r="AC158" s="5"/>
    </row>
    <row r="159" ht="18.0" customHeight="1">
      <c r="A159" s="109"/>
      <c r="B159" s="110"/>
      <c r="C159" s="111"/>
      <c r="D159" s="112"/>
      <c r="E159" s="113"/>
      <c r="F159" s="114"/>
      <c r="G159" s="114"/>
      <c r="H159" s="113"/>
      <c r="I159" s="114"/>
      <c r="J159" s="114"/>
      <c r="K159" s="114"/>
      <c r="L159" s="110"/>
      <c r="M159" s="110"/>
      <c r="N159" s="110"/>
      <c r="O159" s="110"/>
      <c r="P159" s="110"/>
      <c r="Q159" s="110"/>
      <c r="R159" s="110"/>
      <c r="S159" s="110"/>
      <c r="T159" s="112"/>
      <c r="U159" s="5"/>
      <c r="V159" s="5"/>
      <c r="W159" s="5"/>
      <c r="X159" s="5"/>
      <c r="Y159" s="5"/>
      <c r="Z159" s="5"/>
      <c r="AA159" s="112"/>
      <c r="AB159" s="5"/>
      <c r="AC159" s="5"/>
    </row>
    <row r="160" ht="18.0" customHeight="1">
      <c r="A160" s="109"/>
      <c r="B160" s="110"/>
      <c r="C160" s="111"/>
      <c r="D160" s="112"/>
      <c r="E160" s="113"/>
      <c r="F160" s="114"/>
      <c r="G160" s="114"/>
      <c r="H160" s="113"/>
      <c r="I160" s="114"/>
      <c r="J160" s="114"/>
      <c r="K160" s="114"/>
      <c r="L160" s="110"/>
      <c r="M160" s="110"/>
      <c r="N160" s="110"/>
      <c r="O160" s="110"/>
      <c r="P160" s="110"/>
      <c r="Q160" s="110"/>
      <c r="R160" s="110"/>
      <c r="S160" s="110"/>
      <c r="T160" s="112"/>
      <c r="U160" s="5"/>
      <c r="V160" s="5"/>
      <c r="W160" s="5"/>
      <c r="X160" s="5"/>
      <c r="Y160" s="5"/>
      <c r="Z160" s="5"/>
      <c r="AA160" s="112"/>
      <c r="AB160" s="5"/>
      <c r="AC160" s="5"/>
    </row>
    <row r="161" ht="18.0" customHeight="1">
      <c r="A161" s="109"/>
      <c r="B161" s="110"/>
      <c r="C161" s="111"/>
      <c r="D161" s="112"/>
      <c r="E161" s="113"/>
      <c r="F161" s="114"/>
      <c r="G161" s="114"/>
      <c r="H161" s="113"/>
      <c r="I161" s="114"/>
      <c r="J161" s="114"/>
      <c r="K161" s="114"/>
      <c r="L161" s="110"/>
      <c r="M161" s="110"/>
      <c r="N161" s="110"/>
      <c r="O161" s="110"/>
      <c r="P161" s="110"/>
      <c r="Q161" s="110"/>
      <c r="R161" s="110"/>
      <c r="S161" s="110"/>
      <c r="T161" s="112"/>
      <c r="U161" s="5"/>
      <c r="V161" s="5"/>
      <c r="W161" s="5"/>
      <c r="X161" s="5"/>
      <c r="Y161" s="5"/>
      <c r="Z161" s="5"/>
      <c r="AA161" s="112"/>
      <c r="AB161" s="5"/>
      <c r="AC161" s="5"/>
    </row>
    <row r="162" ht="18.0" customHeight="1">
      <c r="A162" s="109"/>
      <c r="B162" s="110"/>
      <c r="C162" s="111"/>
      <c r="D162" s="112"/>
      <c r="E162" s="113"/>
      <c r="F162" s="114"/>
      <c r="G162" s="114"/>
      <c r="H162" s="113"/>
      <c r="I162" s="114"/>
      <c r="J162" s="114"/>
      <c r="K162" s="114"/>
      <c r="L162" s="110"/>
      <c r="M162" s="110"/>
      <c r="N162" s="110"/>
      <c r="O162" s="110"/>
      <c r="P162" s="110"/>
      <c r="Q162" s="110"/>
      <c r="R162" s="110"/>
      <c r="S162" s="110"/>
      <c r="T162" s="112"/>
      <c r="U162" s="5"/>
      <c r="V162" s="5"/>
      <c r="W162" s="5"/>
      <c r="X162" s="5"/>
      <c r="Y162" s="5"/>
      <c r="Z162" s="5"/>
      <c r="AA162" s="112"/>
      <c r="AB162" s="5"/>
      <c r="AC162" s="5"/>
    </row>
    <row r="163" ht="18.0" customHeight="1">
      <c r="A163" s="109"/>
      <c r="B163" s="110"/>
      <c r="C163" s="111"/>
      <c r="D163" s="112"/>
      <c r="E163" s="113"/>
      <c r="F163" s="114"/>
      <c r="G163" s="114"/>
      <c r="H163" s="113"/>
      <c r="I163" s="114"/>
      <c r="J163" s="114"/>
      <c r="K163" s="114"/>
      <c r="L163" s="110"/>
      <c r="M163" s="110"/>
      <c r="N163" s="110"/>
      <c r="O163" s="110"/>
      <c r="P163" s="110"/>
      <c r="Q163" s="110"/>
      <c r="R163" s="110"/>
      <c r="S163" s="110"/>
      <c r="T163" s="112"/>
      <c r="U163" s="5"/>
      <c r="V163" s="5"/>
      <c r="W163" s="5"/>
      <c r="X163" s="5"/>
      <c r="Y163" s="5"/>
      <c r="Z163" s="5"/>
      <c r="AA163" s="112"/>
      <c r="AB163" s="5"/>
      <c r="AC163" s="5"/>
    </row>
    <row r="164" ht="18.0" customHeight="1">
      <c r="A164" s="109"/>
      <c r="B164" s="110"/>
      <c r="C164" s="111"/>
      <c r="D164" s="112"/>
      <c r="E164" s="113"/>
      <c r="F164" s="114"/>
      <c r="G164" s="114"/>
      <c r="H164" s="113"/>
      <c r="I164" s="114"/>
      <c r="J164" s="114"/>
      <c r="K164" s="114"/>
      <c r="L164" s="110"/>
      <c r="M164" s="110"/>
      <c r="N164" s="110"/>
      <c r="O164" s="110"/>
      <c r="P164" s="110"/>
      <c r="Q164" s="110"/>
      <c r="R164" s="110"/>
      <c r="S164" s="110"/>
      <c r="T164" s="112"/>
      <c r="U164" s="5"/>
      <c r="V164" s="5"/>
      <c r="W164" s="5"/>
      <c r="X164" s="5"/>
      <c r="Y164" s="5"/>
      <c r="Z164" s="5"/>
      <c r="AA164" s="112"/>
      <c r="AB164" s="5"/>
      <c r="AC164" s="5"/>
    </row>
    <row r="165" ht="18.0" customHeight="1">
      <c r="A165" s="109"/>
      <c r="B165" s="110"/>
      <c r="C165" s="111"/>
      <c r="D165" s="112"/>
      <c r="E165" s="113"/>
      <c r="F165" s="114"/>
      <c r="G165" s="114"/>
      <c r="H165" s="113"/>
      <c r="I165" s="114"/>
      <c r="J165" s="114"/>
      <c r="K165" s="114"/>
      <c r="L165" s="110"/>
      <c r="M165" s="110"/>
      <c r="N165" s="110"/>
      <c r="O165" s="110"/>
      <c r="P165" s="110"/>
      <c r="Q165" s="110"/>
      <c r="R165" s="110"/>
      <c r="S165" s="110"/>
      <c r="T165" s="112"/>
      <c r="U165" s="5"/>
      <c r="V165" s="5"/>
      <c r="W165" s="5"/>
      <c r="X165" s="5"/>
      <c r="Y165" s="5"/>
      <c r="Z165" s="5"/>
      <c r="AA165" s="112"/>
      <c r="AB165" s="5"/>
      <c r="AC165" s="5"/>
    </row>
    <row r="166" ht="18.0" customHeight="1">
      <c r="A166" s="109"/>
      <c r="B166" s="110"/>
      <c r="C166" s="111"/>
      <c r="D166" s="112"/>
      <c r="E166" s="113"/>
      <c r="F166" s="114"/>
      <c r="G166" s="114"/>
      <c r="H166" s="113"/>
      <c r="I166" s="114"/>
      <c r="J166" s="114"/>
      <c r="K166" s="114"/>
      <c r="L166" s="110"/>
      <c r="M166" s="110"/>
      <c r="N166" s="110"/>
      <c r="O166" s="110"/>
      <c r="P166" s="110"/>
      <c r="Q166" s="110"/>
      <c r="R166" s="110"/>
      <c r="S166" s="110"/>
      <c r="T166" s="112"/>
      <c r="U166" s="5"/>
      <c r="V166" s="5"/>
      <c r="W166" s="5"/>
      <c r="X166" s="5"/>
      <c r="Y166" s="5"/>
      <c r="Z166" s="5"/>
      <c r="AA166" s="112"/>
      <c r="AB166" s="5"/>
      <c r="AC166" s="5"/>
    </row>
    <row r="167" ht="18.0" customHeight="1">
      <c r="A167" s="109"/>
      <c r="B167" s="110"/>
      <c r="C167" s="111"/>
      <c r="D167" s="112"/>
      <c r="E167" s="113"/>
      <c r="F167" s="114"/>
      <c r="G167" s="114"/>
      <c r="H167" s="113"/>
      <c r="I167" s="114"/>
      <c r="J167" s="114"/>
      <c r="K167" s="114"/>
      <c r="L167" s="110"/>
      <c r="M167" s="110"/>
      <c r="N167" s="110"/>
      <c r="O167" s="110"/>
      <c r="P167" s="110"/>
      <c r="Q167" s="110"/>
      <c r="R167" s="110"/>
      <c r="S167" s="110"/>
      <c r="T167" s="112"/>
      <c r="U167" s="5"/>
      <c r="V167" s="5"/>
      <c r="W167" s="5"/>
      <c r="X167" s="5"/>
      <c r="Y167" s="5"/>
      <c r="Z167" s="5"/>
      <c r="AA167" s="112"/>
      <c r="AB167" s="5"/>
      <c r="AC167" s="5"/>
    </row>
    <row r="168" ht="18.0" customHeight="1">
      <c r="A168" s="109"/>
      <c r="B168" s="110"/>
      <c r="C168" s="111"/>
      <c r="D168" s="112"/>
      <c r="E168" s="113"/>
      <c r="F168" s="114"/>
      <c r="G168" s="114"/>
      <c r="H168" s="113"/>
      <c r="I168" s="114"/>
      <c r="J168" s="114"/>
      <c r="K168" s="114"/>
      <c r="L168" s="110"/>
      <c r="M168" s="110"/>
      <c r="N168" s="110"/>
      <c r="O168" s="110"/>
      <c r="P168" s="110"/>
      <c r="Q168" s="110"/>
      <c r="R168" s="110"/>
      <c r="S168" s="110"/>
      <c r="T168" s="112"/>
      <c r="U168" s="5"/>
      <c r="V168" s="5"/>
      <c r="W168" s="5"/>
      <c r="X168" s="5"/>
      <c r="Y168" s="5"/>
      <c r="Z168" s="5"/>
      <c r="AA168" s="112"/>
      <c r="AB168" s="5"/>
      <c r="AC168" s="5"/>
    </row>
    <row r="169" ht="18.0" customHeight="1">
      <c r="A169" s="109"/>
      <c r="B169" s="110"/>
      <c r="C169" s="111"/>
      <c r="D169" s="112"/>
      <c r="E169" s="113"/>
      <c r="F169" s="114"/>
      <c r="G169" s="114"/>
      <c r="H169" s="113"/>
      <c r="I169" s="114"/>
      <c r="J169" s="114"/>
      <c r="K169" s="114"/>
      <c r="L169" s="110"/>
      <c r="M169" s="110"/>
      <c r="N169" s="110"/>
      <c r="O169" s="110"/>
      <c r="P169" s="110"/>
      <c r="Q169" s="110"/>
      <c r="R169" s="110"/>
      <c r="S169" s="110"/>
      <c r="T169" s="112"/>
      <c r="U169" s="5"/>
      <c r="V169" s="5"/>
      <c r="W169" s="5"/>
      <c r="X169" s="5"/>
      <c r="Y169" s="5"/>
      <c r="Z169" s="5"/>
      <c r="AA169" s="112"/>
      <c r="AB169" s="5"/>
      <c r="AC169" s="5"/>
    </row>
    <row r="170" ht="18.0" customHeight="1">
      <c r="A170" s="109"/>
      <c r="B170" s="110"/>
      <c r="C170" s="111"/>
      <c r="D170" s="112"/>
      <c r="E170" s="113"/>
      <c r="F170" s="114"/>
      <c r="G170" s="114"/>
      <c r="H170" s="113"/>
      <c r="I170" s="114"/>
      <c r="J170" s="114"/>
      <c r="K170" s="114"/>
      <c r="L170" s="110"/>
      <c r="M170" s="110"/>
      <c r="N170" s="110"/>
      <c r="O170" s="110"/>
      <c r="P170" s="110"/>
      <c r="Q170" s="110"/>
      <c r="R170" s="110"/>
      <c r="S170" s="110"/>
      <c r="T170" s="112"/>
      <c r="U170" s="5"/>
      <c r="V170" s="5"/>
      <c r="W170" s="5"/>
      <c r="X170" s="5"/>
      <c r="Y170" s="5"/>
      <c r="Z170" s="5"/>
      <c r="AA170" s="112"/>
      <c r="AB170" s="5"/>
      <c r="AC170" s="5"/>
    </row>
    <row r="171" ht="18.0" customHeight="1">
      <c r="A171" s="109"/>
      <c r="B171" s="110"/>
      <c r="C171" s="111"/>
      <c r="D171" s="112"/>
      <c r="E171" s="113"/>
      <c r="F171" s="114"/>
      <c r="G171" s="114"/>
      <c r="H171" s="113"/>
      <c r="I171" s="114"/>
      <c r="J171" s="114"/>
      <c r="K171" s="114"/>
      <c r="L171" s="110"/>
      <c r="M171" s="110"/>
      <c r="N171" s="110"/>
      <c r="O171" s="110"/>
      <c r="P171" s="110"/>
      <c r="Q171" s="110"/>
      <c r="R171" s="110"/>
      <c r="S171" s="110"/>
      <c r="T171" s="112"/>
      <c r="U171" s="5"/>
      <c r="V171" s="5"/>
      <c r="W171" s="5"/>
      <c r="X171" s="5"/>
      <c r="Y171" s="5"/>
      <c r="Z171" s="5"/>
      <c r="AA171" s="112"/>
      <c r="AB171" s="5"/>
      <c r="AC171" s="5"/>
    </row>
    <row r="172" ht="18.0" customHeight="1">
      <c r="A172" s="109"/>
      <c r="B172" s="110"/>
      <c r="C172" s="111"/>
      <c r="D172" s="112"/>
      <c r="E172" s="113"/>
      <c r="F172" s="114"/>
      <c r="G172" s="114"/>
      <c r="H172" s="113"/>
      <c r="I172" s="114"/>
      <c r="J172" s="114"/>
      <c r="K172" s="114"/>
      <c r="L172" s="110"/>
      <c r="M172" s="110"/>
      <c r="N172" s="110"/>
      <c r="O172" s="110"/>
      <c r="P172" s="110"/>
      <c r="Q172" s="110"/>
      <c r="R172" s="110"/>
      <c r="S172" s="110"/>
      <c r="T172" s="112"/>
      <c r="U172" s="5"/>
      <c r="V172" s="5"/>
      <c r="W172" s="5"/>
      <c r="X172" s="5"/>
      <c r="Y172" s="5"/>
      <c r="Z172" s="5"/>
      <c r="AA172" s="112"/>
      <c r="AB172" s="5"/>
      <c r="AC172" s="5"/>
    </row>
    <row r="173" ht="18.0" customHeight="1">
      <c r="A173" s="109"/>
      <c r="B173" s="110"/>
      <c r="C173" s="111"/>
      <c r="D173" s="112"/>
      <c r="E173" s="113"/>
      <c r="F173" s="114"/>
      <c r="G173" s="114"/>
      <c r="H173" s="113"/>
      <c r="I173" s="114"/>
      <c r="J173" s="114"/>
      <c r="K173" s="114"/>
      <c r="L173" s="110"/>
      <c r="M173" s="110"/>
      <c r="N173" s="110"/>
      <c r="O173" s="110"/>
      <c r="P173" s="110"/>
      <c r="Q173" s="110"/>
      <c r="R173" s="110"/>
      <c r="S173" s="110"/>
      <c r="T173" s="112"/>
      <c r="U173" s="5"/>
      <c r="V173" s="5"/>
      <c r="W173" s="5"/>
      <c r="X173" s="5"/>
      <c r="Y173" s="5"/>
      <c r="Z173" s="5"/>
      <c r="AA173" s="112"/>
      <c r="AB173" s="5"/>
      <c r="AC173" s="5"/>
    </row>
    <row r="174" ht="18.0" customHeight="1">
      <c r="A174" s="109"/>
      <c r="B174" s="110"/>
      <c r="C174" s="111"/>
      <c r="D174" s="112"/>
      <c r="E174" s="113"/>
      <c r="F174" s="114"/>
      <c r="G174" s="114"/>
      <c r="H174" s="113"/>
      <c r="I174" s="114"/>
      <c r="J174" s="114"/>
      <c r="K174" s="114"/>
      <c r="L174" s="110"/>
      <c r="M174" s="110"/>
      <c r="N174" s="110"/>
      <c r="O174" s="110"/>
      <c r="P174" s="110"/>
      <c r="Q174" s="110"/>
      <c r="R174" s="110"/>
      <c r="S174" s="110"/>
      <c r="T174" s="112"/>
      <c r="U174" s="5"/>
      <c r="V174" s="5"/>
      <c r="W174" s="5"/>
      <c r="X174" s="5"/>
      <c r="Y174" s="5"/>
      <c r="Z174" s="5"/>
      <c r="AA174" s="112"/>
      <c r="AB174" s="5"/>
      <c r="AC174" s="5"/>
    </row>
    <row r="175" ht="18.0" customHeight="1">
      <c r="A175" s="109"/>
      <c r="B175" s="110"/>
      <c r="C175" s="111"/>
      <c r="D175" s="112"/>
      <c r="E175" s="113"/>
      <c r="F175" s="114"/>
      <c r="G175" s="114"/>
      <c r="H175" s="113"/>
      <c r="I175" s="114"/>
      <c r="J175" s="114"/>
      <c r="K175" s="114"/>
      <c r="L175" s="110"/>
      <c r="M175" s="110"/>
      <c r="N175" s="110"/>
      <c r="O175" s="110"/>
      <c r="P175" s="110"/>
      <c r="Q175" s="110"/>
      <c r="R175" s="110"/>
      <c r="S175" s="110"/>
      <c r="T175" s="112"/>
      <c r="U175" s="5"/>
      <c r="V175" s="5"/>
      <c r="W175" s="5"/>
      <c r="X175" s="5"/>
      <c r="Y175" s="5"/>
      <c r="Z175" s="5"/>
      <c r="AA175" s="112"/>
      <c r="AB175" s="5"/>
      <c r="AC175" s="5"/>
    </row>
    <row r="176" ht="18.0" customHeight="1">
      <c r="A176" s="109"/>
      <c r="B176" s="110"/>
      <c r="C176" s="111"/>
      <c r="D176" s="112"/>
      <c r="E176" s="113"/>
      <c r="F176" s="114"/>
      <c r="G176" s="114"/>
      <c r="H176" s="113"/>
      <c r="I176" s="114"/>
      <c r="J176" s="114"/>
      <c r="K176" s="114"/>
      <c r="L176" s="110"/>
      <c r="M176" s="110"/>
      <c r="N176" s="110"/>
      <c r="O176" s="110"/>
      <c r="P176" s="110"/>
      <c r="Q176" s="110"/>
      <c r="R176" s="110"/>
      <c r="S176" s="110"/>
      <c r="T176" s="112"/>
      <c r="U176" s="5"/>
      <c r="V176" s="5"/>
      <c r="W176" s="5"/>
      <c r="X176" s="5"/>
      <c r="Y176" s="5"/>
      <c r="Z176" s="5"/>
      <c r="AA176" s="112"/>
      <c r="AB176" s="5"/>
      <c r="AC176" s="5"/>
    </row>
    <row r="177" ht="18.0" customHeight="1">
      <c r="A177" s="109"/>
      <c r="B177" s="110"/>
      <c r="C177" s="111"/>
      <c r="D177" s="112"/>
      <c r="E177" s="113"/>
      <c r="F177" s="114"/>
      <c r="G177" s="114"/>
      <c r="H177" s="113"/>
      <c r="I177" s="114"/>
      <c r="J177" s="114"/>
      <c r="K177" s="114"/>
      <c r="L177" s="110"/>
      <c r="M177" s="110"/>
      <c r="N177" s="110"/>
      <c r="O177" s="110"/>
      <c r="P177" s="110"/>
      <c r="Q177" s="110"/>
      <c r="R177" s="110"/>
      <c r="S177" s="110"/>
      <c r="T177" s="112"/>
      <c r="U177" s="5"/>
      <c r="V177" s="5"/>
      <c r="W177" s="5"/>
      <c r="X177" s="5"/>
      <c r="Y177" s="5"/>
      <c r="Z177" s="5"/>
      <c r="AA177" s="112"/>
      <c r="AB177" s="5"/>
      <c r="AC177" s="5"/>
    </row>
    <row r="178" ht="18.0" customHeight="1">
      <c r="A178" s="109"/>
      <c r="B178" s="110"/>
      <c r="C178" s="111"/>
      <c r="D178" s="112"/>
      <c r="E178" s="113"/>
      <c r="F178" s="114"/>
      <c r="G178" s="114"/>
      <c r="H178" s="113"/>
      <c r="I178" s="114"/>
      <c r="J178" s="114"/>
      <c r="K178" s="114"/>
      <c r="L178" s="110"/>
      <c r="M178" s="110"/>
      <c r="N178" s="110"/>
      <c r="O178" s="110"/>
      <c r="P178" s="110"/>
      <c r="Q178" s="110"/>
      <c r="R178" s="110"/>
      <c r="S178" s="110"/>
      <c r="T178" s="112"/>
      <c r="U178" s="5"/>
      <c r="V178" s="5"/>
      <c r="W178" s="5"/>
      <c r="X178" s="5"/>
      <c r="Y178" s="5"/>
      <c r="Z178" s="5"/>
      <c r="AA178" s="112"/>
      <c r="AB178" s="5"/>
      <c r="AC178" s="5"/>
    </row>
    <row r="179" ht="18.0" customHeight="1">
      <c r="A179" s="109"/>
      <c r="B179" s="110"/>
      <c r="C179" s="111"/>
      <c r="D179" s="112"/>
      <c r="E179" s="113"/>
      <c r="F179" s="114"/>
      <c r="G179" s="114"/>
      <c r="H179" s="113"/>
      <c r="I179" s="114"/>
      <c r="J179" s="114"/>
      <c r="K179" s="114"/>
      <c r="L179" s="110"/>
      <c r="M179" s="110"/>
      <c r="N179" s="110"/>
      <c r="O179" s="110"/>
      <c r="P179" s="110"/>
      <c r="Q179" s="110"/>
      <c r="R179" s="110"/>
      <c r="S179" s="110"/>
      <c r="T179" s="112"/>
      <c r="U179" s="5"/>
      <c r="V179" s="5"/>
      <c r="W179" s="5"/>
      <c r="X179" s="5"/>
      <c r="Y179" s="5"/>
      <c r="Z179" s="5"/>
      <c r="AA179" s="112"/>
      <c r="AB179" s="5"/>
      <c r="AC179" s="5"/>
    </row>
    <row r="180" ht="18.0" customHeight="1">
      <c r="A180" s="109"/>
      <c r="B180" s="110"/>
      <c r="C180" s="111"/>
      <c r="D180" s="112"/>
      <c r="E180" s="113"/>
      <c r="F180" s="114"/>
      <c r="G180" s="114"/>
      <c r="H180" s="113"/>
      <c r="I180" s="114"/>
      <c r="J180" s="114"/>
      <c r="K180" s="114"/>
      <c r="L180" s="110"/>
      <c r="M180" s="110"/>
      <c r="N180" s="110"/>
      <c r="O180" s="110"/>
      <c r="P180" s="110"/>
      <c r="Q180" s="110"/>
      <c r="R180" s="110"/>
      <c r="S180" s="110"/>
      <c r="T180" s="112"/>
      <c r="U180" s="5"/>
      <c r="V180" s="5"/>
      <c r="W180" s="5"/>
      <c r="X180" s="5"/>
      <c r="Y180" s="5"/>
      <c r="Z180" s="5"/>
      <c r="AA180" s="112"/>
      <c r="AB180" s="5"/>
      <c r="AC180" s="5"/>
    </row>
    <row r="181" ht="18.0" customHeight="1">
      <c r="A181" s="109"/>
      <c r="B181" s="110"/>
      <c r="C181" s="111"/>
      <c r="D181" s="112"/>
      <c r="E181" s="113"/>
      <c r="F181" s="114"/>
      <c r="G181" s="114"/>
      <c r="H181" s="113"/>
      <c r="I181" s="114"/>
      <c r="J181" s="114"/>
      <c r="K181" s="114"/>
      <c r="L181" s="110"/>
      <c r="M181" s="110"/>
      <c r="N181" s="110"/>
      <c r="O181" s="110"/>
      <c r="P181" s="110"/>
      <c r="Q181" s="110"/>
      <c r="R181" s="110"/>
      <c r="S181" s="110"/>
      <c r="T181" s="112"/>
      <c r="U181" s="5"/>
      <c r="V181" s="5"/>
      <c r="W181" s="5"/>
      <c r="X181" s="5"/>
      <c r="Y181" s="5"/>
      <c r="Z181" s="5"/>
      <c r="AA181" s="112"/>
      <c r="AB181" s="5"/>
      <c r="AC181" s="5"/>
    </row>
    <row r="182" ht="18.0" customHeight="1">
      <c r="A182" s="109"/>
      <c r="B182" s="110"/>
      <c r="C182" s="111"/>
      <c r="D182" s="112"/>
      <c r="E182" s="113"/>
      <c r="F182" s="114"/>
      <c r="G182" s="114"/>
      <c r="H182" s="113"/>
      <c r="I182" s="114"/>
      <c r="J182" s="114"/>
      <c r="K182" s="114"/>
      <c r="L182" s="110"/>
      <c r="M182" s="110"/>
      <c r="N182" s="110"/>
      <c r="O182" s="110"/>
      <c r="P182" s="110"/>
      <c r="Q182" s="110"/>
      <c r="R182" s="110"/>
      <c r="S182" s="110"/>
      <c r="T182" s="112"/>
      <c r="U182" s="5"/>
      <c r="V182" s="5"/>
      <c r="W182" s="5"/>
      <c r="X182" s="5"/>
      <c r="Y182" s="5"/>
      <c r="Z182" s="5"/>
      <c r="AA182" s="112"/>
      <c r="AB182" s="5"/>
      <c r="AC182" s="5"/>
    </row>
    <row r="183" ht="18.0" customHeight="1">
      <c r="A183" s="109"/>
      <c r="B183" s="110"/>
      <c r="C183" s="111"/>
      <c r="D183" s="112"/>
      <c r="E183" s="113"/>
      <c r="F183" s="114"/>
      <c r="G183" s="114"/>
      <c r="H183" s="113"/>
      <c r="I183" s="114"/>
      <c r="J183" s="114"/>
      <c r="K183" s="114"/>
      <c r="L183" s="110"/>
      <c r="M183" s="110"/>
      <c r="N183" s="110"/>
      <c r="O183" s="110"/>
      <c r="P183" s="110"/>
      <c r="Q183" s="110"/>
      <c r="R183" s="110"/>
      <c r="S183" s="110"/>
      <c r="T183" s="112"/>
      <c r="U183" s="5"/>
      <c r="V183" s="5"/>
      <c r="W183" s="5"/>
      <c r="X183" s="5"/>
      <c r="Y183" s="5"/>
      <c r="Z183" s="5"/>
      <c r="AA183" s="112"/>
      <c r="AB183" s="5"/>
      <c r="AC183" s="5"/>
    </row>
    <row r="184" ht="18.0" customHeight="1">
      <c r="A184" s="109"/>
      <c r="B184" s="110"/>
      <c r="C184" s="111"/>
      <c r="D184" s="112"/>
      <c r="E184" s="113"/>
      <c r="F184" s="114"/>
      <c r="G184" s="114"/>
      <c r="H184" s="113"/>
      <c r="I184" s="114"/>
      <c r="J184" s="114"/>
      <c r="K184" s="114"/>
      <c r="L184" s="110"/>
      <c r="M184" s="110"/>
      <c r="N184" s="110"/>
      <c r="O184" s="110"/>
      <c r="P184" s="110"/>
      <c r="Q184" s="110"/>
      <c r="R184" s="110"/>
      <c r="S184" s="110"/>
      <c r="T184" s="112"/>
      <c r="U184" s="5"/>
      <c r="V184" s="5"/>
      <c r="W184" s="5"/>
      <c r="X184" s="5"/>
      <c r="Y184" s="5"/>
      <c r="Z184" s="5"/>
      <c r="AA184" s="112"/>
      <c r="AB184" s="5"/>
      <c r="AC184" s="5"/>
    </row>
    <row r="185" ht="18.0" customHeight="1">
      <c r="A185" s="109"/>
      <c r="B185" s="110"/>
      <c r="C185" s="111"/>
      <c r="D185" s="112"/>
      <c r="E185" s="113"/>
      <c r="F185" s="114"/>
      <c r="G185" s="114"/>
      <c r="H185" s="113"/>
      <c r="I185" s="114"/>
      <c r="J185" s="114"/>
      <c r="K185" s="114"/>
      <c r="L185" s="110"/>
      <c r="M185" s="110"/>
      <c r="N185" s="110"/>
      <c r="O185" s="110"/>
      <c r="P185" s="110"/>
      <c r="Q185" s="110"/>
      <c r="R185" s="110"/>
      <c r="S185" s="110"/>
      <c r="T185" s="112"/>
      <c r="U185" s="5"/>
      <c r="V185" s="5"/>
      <c r="W185" s="5"/>
      <c r="X185" s="5"/>
      <c r="Y185" s="5"/>
      <c r="Z185" s="5"/>
      <c r="AA185" s="112"/>
      <c r="AB185" s="5"/>
      <c r="AC185" s="5"/>
    </row>
    <row r="186" ht="18.0" customHeight="1">
      <c r="A186" s="109"/>
      <c r="B186" s="110"/>
      <c r="C186" s="111"/>
      <c r="D186" s="112"/>
      <c r="E186" s="113"/>
      <c r="F186" s="114"/>
      <c r="G186" s="114"/>
      <c r="H186" s="113"/>
      <c r="I186" s="114"/>
      <c r="J186" s="114"/>
      <c r="K186" s="114"/>
      <c r="L186" s="110"/>
      <c r="M186" s="110"/>
      <c r="N186" s="110"/>
      <c r="O186" s="110"/>
      <c r="P186" s="110"/>
      <c r="Q186" s="110"/>
      <c r="R186" s="110"/>
      <c r="S186" s="110"/>
      <c r="T186" s="112"/>
      <c r="U186" s="5"/>
      <c r="V186" s="5"/>
      <c r="W186" s="5"/>
      <c r="X186" s="5"/>
      <c r="Y186" s="5"/>
      <c r="Z186" s="5"/>
      <c r="AA186" s="112"/>
      <c r="AB186" s="5"/>
      <c r="AC186" s="5"/>
    </row>
    <row r="187" ht="18.0" customHeight="1">
      <c r="A187" s="109"/>
      <c r="B187" s="110"/>
      <c r="C187" s="111"/>
      <c r="D187" s="112"/>
      <c r="E187" s="113"/>
      <c r="F187" s="114"/>
      <c r="G187" s="114"/>
      <c r="H187" s="113"/>
      <c r="I187" s="114"/>
      <c r="J187" s="114"/>
      <c r="K187" s="114"/>
      <c r="L187" s="110"/>
      <c r="M187" s="110"/>
      <c r="N187" s="110"/>
      <c r="O187" s="110"/>
      <c r="P187" s="110"/>
      <c r="Q187" s="110"/>
      <c r="R187" s="110"/>
      <c r="S187" s="110"/>
      <c r="T187" s="112"/>
      <c r="U187" s="5"/>
      <c r="V187" s="5"/>
      <c r="W187" s="5"/>
      <c r="X187" s="5"/>
      <c r="Y187" s="5"/>
      <c r="Z187" s="5"/>
      <c r="AA187" s="112"/>
      <c r="AB187" s="5"/>
      <c r="AC187" s="5"/>
    </row>
    <row r="188" ht="18.0" customHeight="1">
      <c r="A188" s="109"/>
      <c r="B188" s="110"/>
      <c r="C188" s="111"/>
      <c r="D188" s="112"/>
      <c r="E188" s="113"/>
      <c r="F188" s="114"/>
      <c r="G188" s="114"/>
      <c r="H188" s="113"/>
      <c r="I188" s="114"/>
      <c r="J188" s="114"/>
      <c r="K188" s="114"/>
      <c r="L188" s="110"/>
      <c r="M188" s="110"/>
      <c r="N188" s="110"/>
      <c r="O188" s="110"/>
      <c r="P188" s="110"/>
      <c r="Q188" s="110"/>
      <c r="R188" s="110"/>
      <c r="S188" s="110"/>
      <c r="T188" s="112"/>
      <c r="U188" s="5"/>
      <c r="V188" s="5"/>
      <c r="W188" s="5"/>
      <c r="X188" s="5"/>
      <c r="Y188" s="5"/>
      <c r="Z188" s="5"/>
      <c r="AA188" s="112"/>
      <c r="AB188" s="5"/>
      <c r="AC188" s="5"/>
    </row>
    <row r="189" ht="18.0" customHeight="1">
      <c r="A189" s="109"/>
      <c r="B189" s="110"/>
      <c r="C189" s="111"/>
      <c r="D189" s="112"/>
      <c r="E189" s="113"/>
      <c r="F189" s="114"/>
      <c r="G189" s="114"/>
      <c r="H189" s="113"/>
      <c r="I189" s="114"/>
      <c r="J189" s="114"/>
      <c r="K189" s="114"/>
      <c r="L189" s="110"/>
      <c r="M189" s="110"/>
      <c r="N189" s="110"/>
      <c r="O189" s="110"/>
      <c r="P189" s="110"/>
      <c r="Q189" s="110"/>
      <c r="R189" s="110"/>
      <c r="S189" s="110"/>
      <c r="T189" s="112"/>
      <c r="U189" s="5"/>
      <c r="V189" s="5"/>
      <c r="W189" s="5"/>
      <c r="X189" s="5"/>
      <c r="Y189" s="5"/>
      <c r="Z189" s="5"/>
      <c r="AA189" s="112"/>
      <c r="AB189" s="5"/>
      <c r="AC189" s="5"/>
    </row>
    <row r="190" ht="18.0" customHeight="1">
      <c r="A190" s="109"/>
      <c r="B190" s="110"/>
      <c r="C190" s="111"/>
      <c r="D190" s="112"/>
      <c r="E190" s="113"/>
      <c r="F190" s="114"/>
      <c r="G190" s="114"/>
      <c r="H190" s="113"/>
      <c r="I190" s="114"/>
      <c r="J190" s="114"/>
      <c r="K190" s="114"/>
      <c r="L190" s="110"/>
      <c r="M190" s="110"/>
      <c r="N190" s="110"/>
      <c r="O190" s="110"/>
      <c r="P190" s="110"/>
      <c r="Q190" s="110"/>
      <c r="R190" s="110"/>
      <c r="S190" s="110"/>
      <c r="T190" s="112"/>
      <c r="U190" s="5"/>
      <c r="V190" s="5"/>
      <c r="W190" s="5"/>
      <c r="X190" s="5"/>
      <c r="Y190" s="5"/>
      <c r="Z190" s="5"/>
      <c r="AA190" s="112"/>
      <c r="AB190" s="5"/>
      <c r="AC190" s="5"/>
    </row>
    <row r="191" ht="18.0" customHeight="1">
      <c r="A191" s="109"/>
      <c r="B191" s="110"/>
      <c r="C191" s="111"/>
      <c r="D191" s="112"/>
      <c r="E191" s="113"/>
      <c r="F191" s="114"/>
      <c r="G191" s="114"/>
      <c r="H191" s="113"/>
      <c r="I191" s="114"/>
      <c r="J191" s="114"/>
      <c r="K191" s="114"/>
      <c r="L191" s="110"/>
      <c r="M191" s="110"/>
      <c r="N191" s="110"/>
      <c r="O191" s="110"/>
      <c r="P191" s="110"/>
      <c r="Q191" s="110"/>
      <c r="R191" s="110"/>
      <c r="S191" s="110"/>
      <c r="T191" s="112"/>
      <c r="U191" s="5"/>
      <c r="V191" s="5"/>
      <c r="W191" s="5"/>
      <c r="X191" s="5"/>
      <c r="Y191" s="5"/>
      <c r="Z191" s="5"/>
      <c r="AA191" s="112"/>
      <c r="AB191" s="5"/>
      <c r="AC191" s="5"/>
    </row>
    <row r="192" ht="18.0" customHeight="1">
      <c r="A192" s="109"/>
      <c r="B192" s="110"/>
      <c r="C192" s="111"/>
      <c r="D192" s="112"/>
      <c r="E192" s="113"/>
      <c r="F192" s="114"/>
      <c r="G192" s="114"/>
      <c r="H192" s="113"/>
      <c r="I192" s="114"/>
      <c r="J192" s="114"/>
      <c r="K192" s="114"/>
      <c r="L192" s="110"/>
      <c r="M192" s="110"/>
      <c r="N192" s="110"/>
      <c r="O192" s="110"/>
      <c r="P192" s="110"/>
      <c r="Q192" s="110"/>
      <c r="R192" s="110"/>
      <c r="S192" s="110"/>
      <c r="T192" s="112"/>
      <c r="U192" s="5"/>
      <c r="V192" s="5"/>
      <c r="W192" s="5"/>
      <c r="X192" s="5"/>
      <c r="Y192" s="5"/>
      <c r="Z192" s="5"/>
      <c r="AA192" s="112"/>
      <c r="AB192" s="5"/>
      <c r="AC192" s="5"/>
    </row>
    <row r="193" ht="18.0" customHeight="1">
      <c r="A193" s="109"/>
      <c r="B193" s="110"/>
      <c r="C193" s="111"/>
      <c r="D193" s="112"/>
      <c r="E193" s="113"/>
      <c r="F193" s="114"/>
      <c r="G193" s="114"/>
      <c r="H193" s="113"/>
      <c r="I193" s="114"/>
      <c r="J193" s="114"/>
      <c r="K193" s="114"/>
      <c r="L193" s="110"/>
      <c r="M193" s="110"/>
      <c r="N193" s="110"/>
      <c r="O193" s="110"/>
      <c r="P193" s="110"/>
      <c r="Q193" s="110"/>
      <c r="R193" s="110"/>
      <c r="S193" s="110"/>
      <c r="T193" s="112"/>
      <c r="U193" s="5"/>
      <c r="V193" s="5"/>
      <c r="W193" s="5"/>
      <c r="X193" s="5"/>
      <c r="Y193" s="5"/>
      <c r="Z193" s="5"/>
      <c r="AA193" s="112"/>
      <c r="AB193" s="5"/>
      <c r="AC193" s="5"/>
    </row>
    <row r="194" ht="18.0" customHeight="1">
      <c r="A194" s="109"/>
      <c r="B194" s="110"/>
      <c r="C194" s="111"/>
      <c r="D194" s="112"/>
      <c r="E194" s="113"/>
      <c r="F194" s="114"/>
      <c r="G194" s="114"/>
      <c r="H194" s="113"/>
      <c r="I194" s="114"/>
      <c r="J194" s="114"/>
      <c r="K194" s="114"/>
      <c r="L194" s="110"/>
      <c r="M194" s="110"/>
      <c r="N194" s="110"/>
      <c r="O194" s="110"/>
      <c r="P194" s="110"/>
      <c r="Q194" s="110"/>
      <c r="R194" s="110"/>
      <c r="S194" s="110"/>
      <c r="T194" s="112"/>
      <c r="U194" s="5"/>
      <c r="V194" s="5"/>
      <c r="W194" s="5"/>
      <c r="X194" s="5"/>
      <c r="Y194" s="5"/>
      <c r="Z194" s="5"/>
      <c r="AA194" s="112"/>
      <c r="AB194" s="5"/>
      <c r="AC194" s="5"/>
    </row>
    <row r="195" ht="18.0" customHeight="1">
      <c r="A195" s="109"/>
      <c r="B195" s="110"/>
      <c r="C195" s="111"/>
      <c r="D195" s="112"/>
      <c r="E195" s="113"/>
      <c r="F195" s="114"/>
      <c r="G195" s="114"/>
      <c r="H195" s="113"/>
      <c r="I195" s="114"/>
      <c r="J195" s="114"/>
      <c r="K195" s="114"/>
      <c r="L195" s="110"/>
      <c r="M195" s="110"/>
      <c r="N195" s="110"/>
      <c r="O195" s="110"/>
      <c r="P195" s="110"/>
      <c r="Q195" s="110"/>
      <c r="R195" s="110"/>
      <c r="S195" s="110"/>
      <c r="T195" s="112"/>
      <c r="U195" s="5"/>
      <c r="V195" s="5"/>
      <c r="W195" s="5"/>
      <c r="X195" s="5"/>
      <c r="Y195" s="5"/>
      <c r="Z195" s="5"/>
      <c r="AA195" s="112"/>
      <c r="AB195" s="5"/>
      <c r="AC195" s="5"/>
    </row>
    <row r="196" ht="18.0" customHeight="1">
      <c r="A196" s="109"/>
      <c r="B196" s="110"/>
      <c r="C196" s="111"/>
      <c r="D196" s="112"/>
      <c r="E196" s="113"/>
      <c r="F196" s="114"/>
      <c r="G196" s="114"/>
      <c r="H196" s="113"/>
      <c r="I196" s="114"/>
      <c r="J196" s="114"/>
      <c r="K196" s="114"/>
      <c r="L196" s="110"/>
      <c r="M196" s="110"/>
      <c r="N196" s="110"/>
      <c r="O196" s="110"/>
      <c r="P196" s="110"/>
      <c r="Q196" s="110"/>
      <c r="R196" s="110"/>
      <c r="S196" s="110"/>
      <c r="T196" s="112"/>
      <c r="U196" s="5"/>
      <c r="V196" s="5"/>
      <c r="W196" s="5"/>
      <c r="X196" s="5"/>
      <c r="Y196" s="5"/>
      <c r="Z196" s="5"/>
      <c r="AA196" s="112"/>
      <c r="AB196" s="5"/>
      <c r="AC196" s="5"/>
    </row>
    <row r="197" ht="18.0" customHeight="1">
      <c r="A197" s="109"/>
      <c r="B197" s="110"/>
      <c r="C197" s="111"/>
      <c r="D197" s="112"/>
      <c r="E197" s="113"/>
      <c r="F197" s="114"/>
      <c r="G197" s="114"/>
      <c r="H197" s="113"/>
      <c r="I197" s="114"/>
      <c r="J197" s="114"/>
      <c r="K197" s="114"/>
      <c r="L197" s="110"/>
      <c r="M197" s="110"/>
      <c r="N197" s="110"/>
      <c r="O197" s="110"/>
      <c r="P197" s="110"/>
      <c r="Q197" s="110"/>
      <c r="R197" s="110"/>
      <c r="S197" s="110"/>
      <c r="T197" s="112"/>
      <c r="U197" s="5"/>
      <c r="V197" s="5"/>
      <c r="W197" s="5"/>
      <c r="X197" s="5"/>
      <c r="Y197" s="5"/>
      <c r="Z197" s="5"/>
      <c r="AA197" s="112"/>
      <c r="AB197" s="5"/>
      <c r="AC197" s="5"/>
    </row>
    <row r="198" ht="18.0" customHeight="1">
      <c r="A198" s="109"/>
      <c r="B198" s="110"/>
      <c r="C198" s="111"/>
      <c r="D198" s="112"/>
      <c r="E198" s="113"/>
      <c r="F198" s="114"/>
      <c r="G198" s="114"/>
      <c r="H198" s="113"/>
      <c r="I198" s="114"/>
      <c r="J198" s="114"/>
      <c r="K198" s="114"/>
      <c r="L198" s="110"/>
      <c r="M198" s="110"/>
      <c r="N198" s="110"/>
      <c r="O198" s="110"/>
      <c r="P198" s="110"/>
      <c r="Q198" s="110"/>
      <c r="R198" s="110"/>
      <c r="S198" s="110"/>
      <c r="T198" s="112"/>
      <c r="U198" s="5"/>
      <c r="V198" s="5"/>
      <c r="W198" s="5"/>
      <c r="X198" s="5"/>
      <c r="Y198" s="5"/>
      <c r="Z198" s="5"/>
      <c r="AA198" s="112"/>
      <c r="AB198" s="5"/>
      <c r="AC198" s="5"/>
    </row>
    <row r="199" ht="18.0" customHeight="1">
      <c r="A199" s="109"/>
      <c r="B199" s="110"/>
      <c r="C199" s="111"/>
      <c r="D199" s="112"/>
      <c r="E199" s="113"/>
      <c r="F199" s="114"/>
      <c r="G199" s="114"/>
      <c r="H199" s="113"/>
      <c r="I199" s="114"/>
      <c r="J199" s="114"/>
      <c r="K199" s="114"/>
      <c r="L199" s="110"/>
      <c r="M199" s="110"/>
      <c r="N199" s="110"/>
      <c r="O199" s="110"/>
      <c r="P199" s="110"/>
      <c r="Q199" s="110"/>
      <c r="R199" s="110"/>
      <c r="S199" s="110"/>
      <c r="T199" s="112"/>
      <c r="U199" s="5"/>
      <c r="V199" s="5"/>
      <c r="W199" s="5"/>
      <c r="X199" s="5"/>
      <c r="Y199" s="5"/>
      <c r="Z199" s="5"/>
      <c r="AA199" s="112"/>
      <c r="AB199" s="5"/>
      <c r="AC199" s="5"/>
    </row>
    <row r="200" ht="18.0" customHeight="1">
      <c r="A200" s="109"/>
      <c r="B200" s="110"/>
      <c r="C200" s="111"/>
      <c r="D200" s="112"/>
      <c r="E200" s="113"/>
      <c r="F200" s="114"/>
      <c r="G200" s="114"/>
      <c r="H200" s="113"/>
      <c r="I200" s="114"/>
      <c r="J200" s="114"/>
      <c r="K200" s="114"/>
      <c r="L200" s="110"/>
      <c r="M200" s="110"/>
      <c r="N200" s="110"/>
      <c r="O200" s="110"/>
      <c r="P200" s="110"/>
      <c r="Q200" s="110"/>
      <c r="R200" s="110"/>
      <c r="S200" s="110"/>
      <c r="T200" s="112"/>
      <c r="U200" s="5"/>
      <c r="V200" s="5"/>
      <c r="W200" s="5"/>
      <c r="X200" s="5"/>
      <c r="Y200" s="5"/>
      <c r="Z200" s="5"/>
      <c r="AA200" s="112"/>
      <c r="AB200" s="5"/>
      <c r="AC200" s="5"/>
    </row>
    <row r="201" ht="18.0" customHeight="1">
      <c r="A201" s="109"/>
      <c r="B201" s="110"/>
      <c r="C201" s="111"/>
      <c r="D201" s="112"/>
      <c r="E201" s="113"/>
      <c r="F201" s="114"/>
      <c r="G201" s="114"/>
      <c r="H201" s="113"/>
      <c r="I201" s="114"/>
      <c r="J201" s="114"/>
      <c r="K201" s="114"/>
      <c r="L201" s="110"/>
      <c r="M201" s="110"/>
      <c r="N201" s="110"/>
      <c r="O201" s="110"/>
      <c r="P201" s="110"/>
      <c r="Q201" s="110"/>
      <c r="R201" s="110"/>
      <c r="S201" s="110"/>
      <c r="T201" s="112"/>
      <c r="U201" s="5"/>
      <c r="V201" s="5"/>
      <c r="W201" s="5"/>
      <c r="X201" s="5"/>
      <c r="Y201" s="5"/>
      <c r="Z201" s="5"/>
      <c r="AA201" s="112"/>
      <c r="AB201" s="5"/>
      <c r="AC201" s="5"/>
    </row>
    <row r="202" ht="18.0" customHeight="1">
      <c r="A202" s="109"/>
      <c r="B202" s="110"/>
      <c r="C202" s="111"/>
      <c r="D202" s="112"/>
      <c r="E202" s="113"/>
      <c r="F202" s="114"/>
      <c r="G202" s="114"/>
      <c r="H202" s="113"/>
      <c r="I202" s="114"/>
      <c r="J202" s="114"/>
      <c r="K202" s="114"/>
      <c r="L202" s="110"/>
      <c r="M202" s="110"/>
      <c r="N202" s="110"/>
      <c r="O202" s="110"/>
      <c r="P202" s="110"/>
      <c r="Q202" s="110"/>
      <c r="R202" s="110"/>
      <c r="S202" s="110"/>
      <c r="T202" s="112"/>
      <c r="U202" s="5"/>
      <c r="V202" s="5"/>
      <c r="W202" s="5"/>
      <c r="X202" s="5"/>
      <c r="Y202" s="5"/>
      <c r="Z202" s="5"/>
      <c r="AA202" s="112"/>
      <c r="AB202" s="5"/>
      <c r="AC202" s="5"/>
    </row>
    <row r="203" ht="18.0" customHeight="1">
      <c r="A203" s="109"/>
      <c r="B203" s="110"/>
      <c r="C203" s="111"/>
      <c r="D203" s="112"/>
      <c r="E203" s="113"/>
      <c r="F203" s="114"/>
      <c r="G203" s="114"/>
      <c r="H203" s="113"/>
      <c r="I203" s="114"/>
      <c r="J203" s="114"/>
      <c r="K203" s="114"/>
      <c r="L203" s="110"/>
      <c r="M203" s="110"/>
      <c r="N203" s="110"/>
      <c r="O203" s="110"/>
      <c r="P203" s="110"/>
      <c r="Q203" s="110"/>
      <c r="R203" s="110"/>
      <c r="S203" s="110"/>
      <c r="T203" s="112"/>
      <c r="U203" s="5"/>
      <c r="V203" s="5"/>
      <c r="W203" s="5"/>
      <c r="X203" s="5"/>
      <c r="Y203" s="5"/>
      <c r="Z203" s="5"/>
      <c r="AA203" s="112"/>
      <c r="AB203" s="5"/>
      <c r="AC203" s="5"/>
    </row>
    <row r="204" ht="18.0" customHeight="1">
      <c r="A204" s="109"/>
      <c r="B204" s="110"/>
      <c r="C204" s="111"/>
      <c r="D204" s="112"/>
      <c r="E204" s="113"/>
      <c r="F204" s="114"/>
      <c r="G204" s="114"/>
      <c r="H204" s="113"/>
      <c r="I204" s="114"/>
      <c r="J204" s="114"/>
      <c r="K204" s="114"/>
      <c r="L204" s="110"/>
      <c r="M204" s="110"/>
      <c r="N204" s="110"/>
      <c r="O204" s="110"/>
      <c r="P204" s="110"/>
      <c r="Q204" s="110"/>
      <c r="R204" s="110"/>
      <c r="S204" s="110"/>
      <c r="T204" s="112"/>
      <c r="U204" s="5"/>
      <c r="V204" s="5"/>
      <c r="W204" s="5"/>
      <c r="X204" s="5"/>
      <c r="Y204" s="5"/>
      <c r="Z204" s="5"/>
      <c r="AA204" s="112"/>
      <c r="AB204" s="5"/>
      <c r="AC204" s="5"/>
    </row>
    <row r="205" ht="18.0" customHeight="1">
      <c r="A205" s="109"/>
      <c r="B205" s="110"/>
      <c r="C205" s="111"/>
      <c r="D205" s="112"/>
      <c r="E205" s="113"/>
      <c r="F205" s="114"/>
      <c r="G205" s="114"/>
      <c r="H205" s="113"/>
      <c r="I205" s="114"/>
      <c r="J205" s="114"/>
      <c r="K205" s="114"/>
      <c r="L205" s="110"/>
      <c r="M205" s="110"/>
      <c r="N205" s="110"/>
      <c r="O205" s="110"/>
      <c r="P205" s="110"/>
      <c r="Q205" s="110"/>
      <c r="R205" s="110"/>
      <c r="S205" s="110"/>
      <c r="T205" s="112"/>
      <c r="U205" s="5"/>
      <c r="V205" s="5"/>
      <c r="W205" s="5"/>
      <c r="X205" s="5"/>
      <c r="Y205" s="5"/>
      <c r="Z205" s="5"/>
      <c r="AA205" s="112"/>
      <c r="AB205" s="5"/>
      <c r="AC205" s="5"/>
    </row>
    <row r="206" ht="18.0" customHeight="1">
      <c r="A206" s="109"/>
      <c r="B206" s="110"/>
      <c r="C206" s="111"/>
      <c r="D206" s="112"/>
      <c r="E206" s="113"/>
      <c r="F206" s="114"/>
      <c r="G206" s="114"/>
      <c r="H206" s="113"/>
      <c r="I206" s="114"/>
      <c r="J206" s="114"/>
      <c r="K206" s="114"/>
      <c r="L206" s="110"/>
      <c r="M206" s="110"/>
      <c r="N206" s="110"/>
      <c r="O206" s="110"/>
      <c r="P206" s="110"/>
      <c r="Q206" s="110"/>
      <c r="R206" s="110"/>
      <c r="S206" s="110"/>
      <c r="T206" s="112"/>
      <c r="U206" s="5"/>
      <c r="V206" s="5"/>
      <c r="W206" s="5"/>
      <c r="X206" s="5"/>
      <c r="Y206" s="5"/>
      <c r="Z206" s="5"/>
      <c r="AA206" s="112"/>
      <c r="AB206" s="5"/>
      <c r="AC206" s="5"/>
    </row>
    <row r="207" ht="18.0" customHeight="1">
      <c r="A207" s="109"/>
      <c r="B207" s="110"/>
      <c r="C207" s="111"/>
      <c r="D207" s="112"/>
      <c r="E207" s="113"/>
      <c r="F207" s="114"/>
      <c r="G207" s="114"/>
      <c r="H207" s="113"/>
      <c r="I207" s="114"/>
      <c r="J207" s="114"/>
      <c r="K207" s="114"/>
      <c r="L207" s="110"/>
      <c r="M207" s="110"/>
      <c r="N207" s="110"/>
      <c r="O207" s="110"/>
      <c r="P207" s="110"/>
      <c r="Q207" s="110"/>
      <c r="R207" s="110"/>
      <c r="S207" s="110"/>
      <c r="T207" s="112"/>
      <c r="U207" s="5"/>
      <c r="V207" s="5"/>
      <c r="W207" s="5"/>
      <c r="X207" s="5"/>
      <c r="Y207" s="5"/>
      <c r="Z207" s="5"/>
      <c r="AA207" s="112"/>
      <c r="AB207" s="5"/>
      <c r="AC207" s="5"/>
    </row>
    <row r="208" ht="18.0" customHeight="1">
      <c r="A208" s="109"/>
      <c r="B208" s="110"/>
      <c r="C208" s="111"/>
      <c r="D208" s="112"/>
      <c r="E208" s="113"/>
      <c r="F208" s="114"/>
      <c r="G208" s="114"/>
      <c r="H208" s="113"/>
      <c r="I208" s="114"/>
      <c r="J208" s="114"/>
      <c r="K208" s="114"/>
      <c r="L208" s="110"/>
      <c r="M208" s="110"/>
      <c r="N208" s="110"/>
      <c r="O208" s="110"/>
      <c r="P208" s="110"/>
      <c r="Q208" s="110"/>
      <c r="R208" s="110"/>
      <c r="S208" s="110"/>
      <c r="T208" s="112"/>
      <c r="U208" s="5"/>
      <c r="V208" s="5"/>
      <c r="W208" s="5"/>
      <c r="X208" s="5"/>
      <c r="Y208" s="5"/>
      <c r="Z208" s="5"/>
      <c r="AA208" s="112"/>
      <c r="AB208" s="5"/>
      <c r="AC208" s="5"/>
    </row>
    <row r="209" ht="18.0" customHeight="1">
      <c r="A209" s="109"/>
      <c r="B209" s="110"/>
      <c r="C209" s="111"/>
      <c r="D209" s="112"/>
      <c r="E209" s="113"/>
      <c r="F209" s="114"/>
      <c r="G209" s="114"/>
      <c r="H209" s="113"/>
      <c r="I209" s="114"/>
      <c r="J209" s="114"/>
      <c r="K209" s="114"/>
      <c r="L209" s="110"/>
      <c r="M209" s="110"/>
      <c r="N209" s="110"/>
      <c r="O209" s="110"/>
      <c r="P209" s="110"/>
      <c r="Q209" s="110"/>
      <c r="R209" s="110"/>
      <c r="S209" s="110"/>
      <c r="T209" s="112"/>
      <c r="U209" s="5"/>
      <c r="V209" s="5"/>
      <c r="W209" s="5"/>
      <c r="X209" s="5"/>
      <c r="Y209" s="5"/>
      <c r="Z209" s="5"/>
      <c r="AA209" s="112"/>
      <c r="AB209" s="5"/>
      <c r="AC209" s="5"/>
    </row>
    <row r="210" ht="18.0" customHeight="1">
      <c r="A210" s="109"/>
      <c r="B210" s="110"/>
      <c r="C210" s="111"/>
      <c r="D210" s="112"/>
      <c r="E210" s="113"/>
      <c r="F210" s="114"/>
      <c r="G210" s="114"/>
      <c r="H210" s="113"/>
      <c r="I210" s="114"/>
      <c r="J210" s="114"/>
      <c r="K210" s="114"/>
      <c r="L210" s="110"/>
      <c r="M210" s="110"/>
      <c r="N210" s="110"/>
      <c r="O210" s="110"/>
      <c r="P210" s="110"/>
      <c r="Q210" s="110"/>
      <c r="R210" s="110"/>
      <c r="S210" s="110"/>
      <c r="T210" s="112"/>
      <c r="U210" s="5"/>
      <c r="V210" s="5"/>
      <c r="W210" s="5"/>
      <c r="X210" s="5"/>
      <c r="Y210" s="5"/>
      <c r="Z210" s="5"/>
      <c r="AA210" s="112"/>
      <c r="AB210" s="5"/>
      <c r="AC210" s="5"/>
    </row>
    <row r="211" ht="18.0" customHeight="1">
      <c r="A211" s="109"/>
      <c r="B211" s="110"/>
      <c r="C211" s="111"/>
      <c r="D211" s="112"/>
      <c r="E211" s="113"/>
      <c r="F211" s="114"/>
      <c r="G211" s="114"/>
      <c r="H211" s="113"/>
      <c r="I211" s="114"/>
      <c r="J211" s="114"/>
      <c r="K211" s="114"/>
      <c r="L211" s="110"/>
      <c r="M211" s="110"/>
      <c r="N211" s="110"/>
      <c r="O211" s="110"/>
      <c r="P211" s="110"/>
      <c r="Q211" s="110"/>
      <c r="R211" s="110"/>
      <c r="S211" s="110"/>
      <c r="T211" s="112"/>
      <c r="U211" s="5"/>
      <c r="V211" s="5"/>
      <c r="W211" s="5"/>
      <c r="X211" s="5"/>
      <c r="Y211" s="5"/>
      <c r="Z211" s="5"/>
      <c r="AA211" s="112"/>
      <c r="AB211" s="5"/>
      <c r="AC211" s="5"/>
    </row>
    <row r="212" ht="18.0" customHeight="1">
      <c r="A212" s="109"/>
      <c r="B212" s="110"/>
      <c r="C212" s="111"/>
      <c r="D212" s="112"/>
      <c r="E212" s="113"/>
      <c r="F212" s="114"/>
      <c r="G212" s="114"/>
      <c r="H212" s="113"/>
      <c r="I212" s="114"/>
      <c r="J212" s="114"/>
      <c r="K212" s="114"/>
      <c r="L212" s="110"/>
      <c r="M212" s="110"/>
      <c r="N212" s="110"/>
      <c r="O212" s="110"/>
      <c r="P212" s="110"/>
      <c r="Q212" s="110"/>
      <c r="R212" s="110"/>
      <c r="S212" s="110"/>
      <c r="T212" s="112"/>
      <c r="U212" s="5"/>
      <c r="V212" s="5"/>
      <c r="W212" s="5"/>
      <c r="X212" s="5"/>
      <c r="Y212" s="5"/>
      <c r="Z212" s="5"/>
      <c r="AA212" s="112"/>
      <c r="AB212" s="5"/>
      <c r="AC212" s="5"/>
    </row>
    <row r="213" ht="18.0" customHeight="1">
      <c r="A213" s="109"/>
      <c r="B213" s="110"/>
      <c r="C213" s="111"/>
      <c r="D213" s="112"/>
      <c r="E213" s="113"/>
      <c r="F213" s="114"/>
      <c r="G213" s="114"/>
      <c r="H213" s="113"/>
      <c r="I213" s="114"/>
      <c r="J213" s="114"/>
      <c r="K213" s="114"/>
      <c r="L213" s="110"/>
      <c r="M213" s="110"/>
      <c r="N213" s="110"/>
      <c r="O213" s="110"/>
      <c r="P213" s="110"/>
      <c r="Q213" s="110"/>
      <c r="R213" s="110"/>
      <c r="S213" s="110"/>
      <c r="T213" s="112"/>
      <c r="U213" s="5"/>
      <c r="V213" s="5"/>
      <c r="W213" s="5"/>
      <c r="X213" s="5"/>
      <c r="Y213" s="5"/>
      <c r="Z213" s="5"/>
      <c r="AA213" s="112"/>
      <c r="AB213" s="5"/>
      <c r="AC213" s="5"/>
    </row>
    <row r="214" ht="18.0" customHeight="1">
      <c r="A214" s="109"/>
      <c r="B214" s="110"/>
      <c r="C214" s="111"/>
      <c r="D214" s="112"/>
      <c r="E214" s="113"/>
      <c r="F214" s="114"/>
      <c r="G214" s="114"/>
      <c r="H214" s="113"/>
      <c r="I214" s="114"/>
      <c r="J214" s="114"/>
      <c r="K214" s="114"/>
      <c r="L214" s="110"/>
      <c r="M214" s="110"/>
      <c r="N214" s="110"/>
      <c r="O214" s="110"/>
      <c r="P214" s="110"/>
      <c r="Q214" s="110"/>
      <c r="R214" s="110"/>
      <c r="S214" s="110"/>
      <c r="T214" s="112"/>
      <c r="U214" s="5"/>
      <c r="V214" s="5"/>
      <c r="W214" s="5"/>
      <c r="X214" s="5"/>
      <c r="Y214" s="5"/>
      <c r="Z214" s="5"/>
      <c r="AA214" s="112"/>
      <c r="AB214" s="5"/>
      <c r="AC214" s="5"/>
    </row>
    <row r="215" ht="18.0" customHeight="1">
      <c r="A215" s="109"/>
      <c r="B215" s="110"/>
      <c r="C215" s="111"/>
      <c r="D215" s="112"/>
      <c r="E215" s="113"/>
      <c r="F215" s="114"/>
      <c r="G215" s="114"/>
      <c r="H215" s="113"/>
      <c r="I215" s="114"/>
      <c r="J215" s="114"/>
      <c r="K215" s="114"/>
      <c r="L215" s="110"/>
      <c r="M215" s="110"/>
      <c r="N215" s="110"/>
      <c r="O215" s="110"/>
      <c r="P215" s="110"/>
      <c r="Q215" s="110"/>
      <c r="R215" s="110"/>
      <c r="S215" s="110"/>
      <c r="T215" s="112"/>
      <c r="U215" s="5"/>
      <c r="V215" s="5"/>
      <c r="W215" s="5"/>
      <c r="X215" s="5"/>
      <c r="Y215" s="5"/>
      <c r="Z215" s="5"/>
      <c r="AA215" s="112"/>
      <c r="AB215" s="5"/>
      <c r="AC215" s="5"/>
    </row>
    <row r="216" ht="18.0" customHeight="1">
      <c r="A216" s="109"/>
      <c r="B216" s="110"/>
      <c r="C216" s="111"/>
      <c r="D216" s="112"/>
      <c r="E216" s="113"/>
      <c r="F216" s="114"/>
      <c r="G216" s="114"/>
      <c r="H216" s="113"/>
      <c r="I216" s="114"/>
      <c r="J216" s="114"/>
      <c r="K216" s="114"/>
      <c r="L216" s="110"/>
      <c r="M216" s="110"/>
      <c r="N216" s="110"/>
      <c r="O216" s="110"/>
      <c r="P216" s="110"/>
      <c r="Q216" s="110"/>
      <c r="R216" s="110"/>
      <c r="S216" s="110"/>
      <c r="T216" s="112"/>
      <c r="U216" s="5"/>
      <c r="V216" s="5"/>
      <c r="W216" s="5"/>
      <c r="X216" s="5"/>
      <c r="Y216" s="5"/>
      <c r="Z216" s="5"/>
      <c r="AA216" s="112"/>
      <c r="AB216" s="5"/>
      <c r="AC216" s="5"/>
    </row>
    <row r="217" ht="18.0" customHeight="1">
      <c r="A217" s="109"/>
      <c r="B217" s="110"/>
      <c r="C217" s="111"/>
      <c r="D217" s="112"/>
      <c r="E217" s="113"/>
      <c r="F217" s="114"/>
      <c r="G217" s="114"/>
      <c r="H217" s="113"/>
      <c r="I217" s="114"/>
      <c r="J217" s="114"/>
      <c r="K217" s="114"/>
      <c r="L217" s="110"/>
      <c r="M217" s="110"/>
      <c r="N217" s="110"/>
      <c r="O217" s="110"/>
      <c r="P217" s="110"/>
      <c r="Q217" s="110"/>
      <c r="R217" s="110"/>
      <c r="S217" s="110"/>
      <c r="T217" s="112"/>
      <c r="U217" s="5"/>
      <c r="V217" s="5"/>
      <c r="W217" s="5"/>
      <c r="X217" s="5"/>
      <c r="Y217" s="5"/>
      <c r="Z217" s="5"/>
      <c r="AA217" s="112"/>
      <c r="AB217" s="5"/>
      <c r="AC217" s="5"/>
    </row>
    <row r="218" ht="18.0" customHeight="1">
      <c r="A218" s="109"/>
      <c r="B218" s="110"/>
      <c r="C218" s="111"/>
      <c r="D218" s="112"/>
      <c r="E218" s="113"/>
      <c r="F218" s="114"/>
      <c r="G218" s="114"/>
      <c r="H218" s="113"/>
      <c r="I218" s="114"/>
      <c r="J218" s="114"/>
      <c r="K218" s="114"/>
      <c r="L218" s="110"/>
      <c r="M218" s="110"/>
      <c r="N218" s="110"/>
      <c r="O218" s="110"/>
      <c r="P218" s="110"/>
      <c r="Q218" s="110"/>
      <c r="R218" s="110"/>
      <c r="S218" s="110"/>
      <c r="T218" s="112"/>
      <c r="U218" s="5"/>
      <c r="V218" s="5"/>
      <c r="W218" s="5"/>
      <c r="X218" s="5"/>
      <c r="Y218" s="5"/>
      <c r="Z218" s="5"/>
      <c r="AA218" s="112"/>
      <c r="AB218" s="5"/>
      <c r="AC218" s="5"/>
    </row>
    <row r="219" ht="18.0" customHeight="1">
      <c r="A219" s="109"/>
      <c r="B219" s="110"/>
      <c r="C219" s="111"/>
      <c r="D219" s="112"/>
      <c r="E219" s="113"/>
      <c r="F219" s="114"/>
      <c r="G219" s="114"/>
      <c r="H219" s="113"/>
      <c r="I219" s="114"/>
      <c r="J219" s="114"/>
      <c r="K219" s="114"/>
      <c r="L219" s="110"/>
      <c r="M219" s="110"/>
      <c r="N219" s="110"/>
      <c r="O219" s="110"/>
      <c r="P219" s="110"/>
      <c r="Q219" s="110"/>
      <c r="R219" s="110"/>
      <c r="S219" s="110"/>
      <c r="T219" s="112"/>
      <c r="U219" s="5"/>
      <c r="V219" s="5"/>
      <c r="W219" s="5"/>
      <c r="X219" s="5"/>
      <c r="Y219" s="5"/>
      <c r="Z219" s="5"/>
      <c r="AA219" s="112"/>
      <c r="AB219" s="5"/>
      <c r="AC219" s="5"/>
    </row>
    <row r="220" ht="18.0" customHeight="1">
      <c r="A220" s="109"/>
      <c r="B220" s="110"/>
      <c r="C220" s="111"/>
      <c r="D220" s="112"/>
      <c r="E220" s="113"/>
      <c r="F220" s="114"/>
      <c r="G220" s="114"/>
      <c r="H220" s="113"/>
      <c r="I220" s="114"/>
      <c r="J220" s="114"/>
      <c r="K220" s="114"/>
      <c r="L220" s="110"/>
      <c r="M220" s="110"/>
      <c r="N220" s="110"/>
      <c r="O220" s="110"/>
      <c r="P220" s="110"/>
      <c r="Q220" s="110"/>
      <c r="R220" s="110"/>
      <c r="S220" s="110"/>
      <c r="T220" s="112"/>
      <c r="U220" s="5"/>
      <c r="V220" s="5"/>
      <c r="W220" s="5"/>
      <c r="X220" s="5"/>
      <c r="Y220" s="5"/>
      <c r="Z220" s="5"/>
      <c r="AA220" s="112"/>
      <c r="AB220" s="5"/>
      <c r="AC220" s="5"/>
    </row>
    <row r="221" ht="18.0" customHeight="1">
      <c r="A221" s="109"/>
      <c r="B221" s="110"/>
      <c r="C221" s="111"/>
      <c r="D221" s="112"/>
      <c r="E221" s="113"/>
      <c r="F221" s="114"/>
      <c r="G221" s="114"/>
      <c r="H221" s="113"/>
      <c r="I221" s="114"/>
      <c r="J221" s="114"/>
      <c r="K221" s="114"/>
      <c r="L221" s="110"/>
      <c r="M221" s="110"/>
      <c r="N221" s="110"/>
      <c r="O221" s="110"/>
      <c r="P221" s="110"/>
      <c r="Q221" s="110"/>
      <c r="R221" s="110"/>
      <c r="S221" s="110"/>
      <c r="T221" s="112"/>
      <c r="U221" s="5"/>
      <c r="V221" s="5"/>
      <c r="W221" s="5"/>
      <c r="X221" s="5"/>
      <c r="Y221" s="5"/>
      <c r="Z221" s="5"/>
      <c r="AA221" s="112"/>
      <c r="AB221" s="5"/>
      <c r="AC221" s="5"/>
    </row>
    <row r="222" ht="18.0" customHeight="1">
      <c r="A222" s="109"/>
      <c r="B222" s="110"/>
      <c r="C222" s="111"/>
      <c r="D222" s="112"/>
      <c r="E222" s="113"/>
      <c r="F222" s="114"/>
      <c r="G222" s="114"/>
      <c r="H222" s="113"/>
      <c r="I222" s="114"/>
      <c r="J222" s="114"/>
      <c r="K222" s="114"/>
      <c r="L222" s="110"/>
      <c r="M222" s="110"/>
      <c r="N222" s="110"/>
      <c r="O222" s="110"/>
      <c r="P222" s="110"/>
      <c r="Q222" s="110"/>
      <c r="R222" s="110"/>
      <c r="S222" s="110"/>
      <c r="T222" s="112"/>
      <c r="U222" s="5"/>
      <c r="V222" s="5"/>
      <c r="W222" s="5"/>
      <c r="X222" s="5"/>
      <c r="Y222" s="5"/>
      <c r="Z222" s="5"/>
      <c r="AA222" s="112"/>
      <c r="AB222" s="5"/>
      <c r="AC222" s="5"/>
    </row>
    <row r="223" ht="18.0" customHeight="1">
      <c r="A223" s="109"/>
      <c r="B223" s="110"/>
      <c r="C223" s="111"/>
      <c r="D223" s="112"/>
      <c r="E223" s="113"/>
      <c r="F223" s="114"/>
      <c r="G223" s="114"/>
      <c r="H223" s="113"/>
      <c r="I223" s="114"/>
      <c r="J223" s="114"/>
      <c r="K223" s="114"/>
      <c r="L223" s="110"/>
      <c r="M223" s="110"/>
      <c r="N223" s="110"/>
      <c r="O223" s="110"/>
      <c r="P223" s="110"/>
      <c r="Q223" s="110"/>
      <c r="R223" s="110"/>
      <c r="S223" s="110"/>
      <c r="T223" s="112"/>
      <c r="U223" s="5"/>
      <c r="V223" s="5"/>
      <c r="W223" s="5"/>
      <c r="X223" s="5"/>
      <c r="Y223" s="5"/>
      <c r="Z223" s="5"/>
      <c r="AA223" s="112"/>
      <c r="AB223" s="5"/>
      <c r="AC223" s="5"/>
    </row>
    <row r="224" ht="18.0" customHeight="1">
      <c r="A224" s="109"/>
      <c r="B224" s="110"/>
      <c r="C224" s="111"/>
      <c r="D224" s="112"/>
      <c r="E224" s="113"/>
      <c r="F224" s="114"/>
      <c r="G224" s="114"/>
      <c r="H224" s="113"/>
      <c r="I224" s="114"/>
      <c r="J224" s="114"/>
      <c r="K224" s="114"/>
      <c r="L224" s="110"/>
      <c r="M224" s="110"/>
      <c r="N224" s="110"/>
      <c r="O224" s="110"/>
      <c r="P224" s="110"/>
      <c r="Q224" s="110"/>
      <c r="R224" s="110"/>
      <c r="S224" s="110"/>
      <c r="T224" s="112"/>
      <c r="U224" s="5"/>
      <c r="V224" s="5"/>
      <c r="W224" s="5"/>
      <c r="X224" s="5"/>
      <c r="Y224" s="5"/>
      <c r="Z224" s="5"/>
      <c r="AA224" s="112"/>
      <c r="AB224" s="5"/>
      <c r="AC224" s="5"/>
    </row>
    <row r="225" ht="18.0" customHeight="1">
      <c r="A225" s="109"/>
      <c r="B225" s="110"/>
      <c r="C225" s="111"/>
      <c r="D225" s="112"/>
      <c r="E225" s="113"/>
      <c r="F225" s="114"/>
      <c r="G225" s="114"/>
      <c r="H225" s="113"/>
      <c r="I225" s="114"/>
      <c r="J225" s="114"/>
      <c r="K225" s="114"/>
      <c r="L225" s="110"/>
      <c r="M225" s="110"/>
      <c r="N225" s="110"/>
      <c r="O225" s="110"/>
      <c r="P225" s="110"/>
      <c r="Q225" s="110"/>
      <c r="R225" s="110"/>
      <c r="S225" s="110"/>
      <c r="T225" s="112"/>
      <c r="U225" s="5"/>
      <c r="V225" s="5"/>
      <c r="W225" s="5"/>
      <c r="X225" s="5"/>
      <c r="Y225" s="5"/>
      <c r="Z225" s="5"/>
      <c r="AA225" s="112"/>
      <c r="AB225" s="5"/>
      <c r="AC225" s="5"/>
    </row>
    <row r="226" ht="18.0" customHeight="1">
      <c r="A226" s="109"/>
      <c r="B226" s="110"/>
      <c r="C226" s="111"/>
      <c r="D226" s="112"/>
      <c r="E226" s="113"/>
      <c r="F226" s="114"/>
      <c r="G226" s="114"/>
      <c r="H226" s="113"/>
      <c r="I226" s="114"/>
      <c r="J226" s="114"/>
      <c r="K226" s="114"/>
      <c r="L226" s="110"/>
      <c r="M226" s="110"/>
      <c r="N226" s="110"/>
      <c r="O226" s="110"/>
      <c r="P226" s="110"/>
      <c r="Q226" s="110"/>
      <c r="R226" s="110"/>
      <c r="S226" s="110"/>
      <c r="T226" s="112"/>
      <c r="U226" s="5"/>
      <c r="V226" s="5"/>
      <c r="W226" s="5"/>
      <c r="X226" s="5"/>
      <c r="Y226" s="5"/>
      <c r="Z226" s="5"/>
      <c r="AA226" s="112"/>
      <c r="AB226" s="5"/>
      <c r="AC226" s="5"/>
    </row>
    <row r="227" ht="18.0" customHeight="1">
      <c r="A227" s="109"/>
      <c r="B227" s="110"/>
      <c r="C227" s="111"/>
      <c r="D227" s="112"/>
      <c r="E227" s="113"/>
      <c r="F227" s="114"/>
      <c r="G227" s="114"/>
      <c r="H227" s="113"/>
      <c r="I227" s="114"/>
      <c r="J227" s="114"/>
      <c r="K227" s="114"/>
      <c r="L227" s="110"/>
      <c r="M227" s="110"/>
      <c r="N227" s="110"/>
      <c r="O227" s="110"/>
      <c r="P227" s="110"/>
      <c r="Q227" s="110"/>
      <c r="R227" s="110"/>
      <c r="S227" s="110"/>
      <c r="T227" s="112"/>
      <c r="U227" s="5"/>
      <c r="V227" s="5"/>
      <c r="W227" s="5"/>
      <c r="X227" s="5"/>
      <c r="Y227" s="5"/>
      <c r="Z227" s="5"/>
      <c r="AA227" s="112"/>
      <c r="AB227" s="5"/>
      <c r="AC227" s="5"/>
    </row>
    <row r="228" ht="18.0" customHeight="1">
      <c r="A228" s="109"/>
      <c r="B228" s="110"/>
      <c r="C228" s="111"/>
      <c r="D228" s="112"/>
      <c r="E228" s="113"/>
      <c r="F228" s="114"/>
      <c r="G228" s="114"/>
      <c r="H228" s="113"/>
      <c r="I228" s="114"/>
      <c r="J228" s="114"/>
      <c r="K228" s="114"/>
      <c r="L228" s="110"/>
      <c r="M228" s="110"/>
      <c r="N228" s="110"/>
      <c r="O228" s="110"/>
      <c r="P228" s="110"/>
      <c r="Q228" s="110"/>
      <c r="R228" s="110"/>
      <c r="S228" s="110"/>
      <c r="T228" s="112"/>
      <c r="U228" s="5"/>
      <c r="V228" s="5"/>
      <c r="W228" s="5"/>
      <c r="X228" s="5"/>
      <c r="Y228" s="5"/>
      <c r="Z228" s="5"/>
      <c r="AA228" s="112"/>
      <c r="AB228" s="5"/>
      <c r="AC228" s="5"/>
    </row>
    <row r="229" ht="18.0" customHeight="1">
      <c r="A229" s="109"/>
      <c r="B229" s="5"/>
      <c r="C229" s="5"/>
      <c r="D229" s="112"/>
      <c r="E229" s="113"/>
      <c r="F229" s="114"/>
      <c r="G229" s="114"/>
      <c r="H229" s="113"/>
      <c r="I229" s="114"/>
      <c r="J229" s="114"/>
      <c r="K229" s="114"/>
      <c r="L229" s="110"/>
      <c r="M229" s="110"/>
      <c r="N229" s="110"/>
      <c r="O229" s="110"/>
      <c r="P229" s="110"/>
      <c r="Q229" s="110"/>
      <c r="R229" s="110"/>
      <c r="S229" s="110"/>
      <c r="T229" s="112"/>
      <c r="U229" s="5"/>
      <c r="V229" s="5"/>
      <c r="W229" s="5"/>
      <c r="X229" s="5"/>
      <c r="Y229" s="5"/>
      <c r="Z229" s="5"/>
      <c r="AA229" s="112"/>
      <c r="AB229" s="5"/>
      <c r="AC229" s="5"/>
    </row>
    <row r="230" ht="18.0" customHeight="1">
      <c r="A230" s="109"/>
      <c r="B230" s="5"/>
      <c r="C230" s="5"/>
      <c r="D230" s="112"/>
      <c r="E230" s="113"/>
      <c r="F230" s="114"/>
      <c r="G230" s="114"/>
      <c r="H230" s="113"/>
      <c r="I230" s="114"/>
      <c r="J230" s="114"/>
      <c r="K230" s="114"/>
      <c r="L230" s="110"/>
      <c r="M230" s="110"/>
      <c r="N230" s="110"/>
      <c r="O230" s="110"/>
      <c r="P230" s="110"/>
      <c r="Q230" s="110"/>
      <c r="R230" s="110"/>
      <c r="S230" s="110"/>
      <c r="T230" s="112"/>
      <c r="U230" s="5"/>
      <c r="V230" s="5"/>
      <c r="W230" s="5"/>
      <c r="X230" s="5"/>
      <c r="Y230" s="5"/>
      <c r="Z230" s="5"/>
      <c r="AA230" s="112"/>
      <c r="AB230" s="5"/>
      <c r="AC230" s="5"/>
    </row>
    <row r="231" ht="18.0" customHeight="1">
      <c r="A231" s="109"/>
      <c r="B231" s="5"/>
      <c r="C231" s="5"/>
      <c r="D231" s="112"/>
      <c r="E231" s="113"/>
      <c r="F231" s="114"/>
      <c r="G231" s="114"/>
      <c r="H231" s="113"/>
      <c r="I231" s="114"/>
      <c r="J231" s="114"/>
      <c r="K231" s="114"/>
      <c r="L231" s="110"/>
      <c r="M231" s="110"/>
      <c r="N231" s="110"/>
      <c r="O231" s="110"/>
      <c r="P231" s="110"/>
      <c r="Q231" s="110"/>
      <c r="R231" s="110"/>
      <c r="S231" s="110"/>
      <c r="T231" s="112"/>
      <c r="U231" s="5"/>
      <c r="V231" s="5"/>
      <c r="W231" s="5"/>
      <c r="X231" s="5"/>
      <c r="Y231" s="5"/>
      <c r="Z231" s="5"/>
      <c r="AA231" s="5"/>
      <c r="AB231" s="5"/>
      <c r="AC231" s="5"/>
    </row>
    <row r="232" ht="18.0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</row>
    <row r="233" ht="18.0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</row>
    <row r="234" ht="18.0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 ht="18.0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</row>
    <row r="236" ht="18.0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</row>
    <row r="237" ht="18.0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</row>
    <row r="238" ht="18.0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</row>
    <row r="239" ht="18.0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</row>
    <row r="240" ht="18.0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</row>
    <row r="241" ht="18.0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 ht="18.0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</row>
    <row r="243" ht="18.0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</row>
    <row r="244" ht="18.0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</row>
    <row r="245" ht="18.0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</row>
    <row r="246" ht="18.0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</row>
    <row r="247" ht="18.0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</row>
    <row r="248" ht="18.0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 ht="18.0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</row>
    <row r="250" ht="18.0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</row>
    <row r="251" ht="18.0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</row>
    <row r="252" ht="18.0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</row>
    <row r="253" ht="18.0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</row>
    <row r="254" ht="18.0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</row>
    <row r="255" ht="18.0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 ht="18.0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</row>
    <row r="257" ht="18.0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</row>
    <row r="258" ht="18.0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</row>
    <row r="259" ht="18.0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</row>
    <row r="260" ht="18.0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</row>
    <row r="261" ht="18.0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</row>
    <row r="262" ht="18.0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 ht="18.0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</row>
    <row r="264" ht="18.0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</row>
    <row r="265" ht="18.0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</row>
    <row r="266" ht="18.0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ht="18.0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ht="18.0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ht="18.0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ht="18.0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ht="18.0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ht="18.0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ht="18.0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ht="18.0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ht="18.0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ht="18.0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ht="18.0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ht="18.0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ht="18.0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ht="18.0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ht="18.0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ht="18.0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ht="18.0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ht="18.0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ht="18.0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ht="18.0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ht="18.0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ht="18.0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ht="18.0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ht="18.0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ht="18.0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ht="18.0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ht="18.0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ht="18.0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ht="18.0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ht="18.0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ht="18.0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ht="18.0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ht="18.0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ht="18.0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ht="18.0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ht="18.0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ht="18.0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ht="18.0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ht="18.0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ht="18.0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ht="18.0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ht="18.0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ht="18.0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ht="18.0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ht="18.0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ht="18.0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ht="18.0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ht="18.0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ht="18.0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ht="18.0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ht="18.0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ht="18.0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ht="18.0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ht="18.0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ht="18.0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ht="18.0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ht="18.0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ht="18.0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ht="18.0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ht="18.0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ht="18.0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ht="18.0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ht="18.0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ht="18.0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ht="18.0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ht="18.0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ht="18.0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ht="18.0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ht="18.0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ht="18.0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ht="18.0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ht="18.0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ht="18.0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ht="18.0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ht="18.0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ht="18.0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ht="18.0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ht="18.0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ht="18.0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ht="18.0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ht="18.0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ht="18.0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ht="18.0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ht="18.0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ht="18.0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ht="18.0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ht="18.0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ht="18.0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ht="18.0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ht="18.0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ht="18.0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ht="18.0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ht="18.0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ht="18.0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ht="18.0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ht="18.0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ht="18.0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ht="18.0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ht="18.0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ht="18.0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ht="18.0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ht="18.0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ht="18.0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ht="18.0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ht="18.0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ht="18.0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ht="18.0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ht="18.0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ht="18.0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ht="18.0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ht="18.0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ht="18.0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ht="18.0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ht="18.0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ht="18.0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ht="18.0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ht="18.0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ht="18.0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ht="18.0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ht="18.0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ht="18.0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ht="18.0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ht="18.0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ht="18.0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ht="18.0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ht="18.0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ht="18.0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ht="18.0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ht="18.0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ht="18.0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ht="18.0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ht="18.0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ht="18.0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ht="18.0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ht="18.0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ht="18.0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ht="18.0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ht="18.0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ht="18.0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ht="18.0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ht="18.0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ht="18.0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ht="18.0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ht="18.0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ht="18.0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ht="18.0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ht="18.0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ht="18.0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ht="18.0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ht="18.0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ht="18.0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ht="18.0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ht="18.0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ht="18.0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ht="18.0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ht="18.0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ht="18.0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ht="18.0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ht="18.0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ht="18.0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ht="18.0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ht="18.0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ht="18.0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ht="18.0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ht="18.0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ht="18.0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ht="18.0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ht="18.0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ht="18.0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ht="18.0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ht="18.0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ht="18.0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ht="18.0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ht="18.0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ht="18.0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ht="18.0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ht="18.0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ht="18.0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ht="18.0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ht="18.0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ht="18.0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ht="18.0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ht="18.0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ht="18.0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ht="18.0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ht="18.0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ht="18.0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ht="18.0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ht="18.0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ht="18.0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ht="18.0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ht="18.0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ht="18.0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ht="18.0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ht="18.0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ht="18.0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ht="18.0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ht="18.0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ht="18.0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ht="18.0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ht="18.0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ht="18.0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ht="18.0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ht="18.0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ht="18.0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ht="18.0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ht="18.0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ht="18.0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ht="18.0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ht="18.0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ht="18.0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ht="18.0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ht="18.0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ht="18.0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ht="18.0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ht="18.0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ht="18.0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ht="18.0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ht="18.0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ht="18.0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ht="18.0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ht="18.0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ht="18.0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ht="18.0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ht="18.0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ht="18.0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ht="18.0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ht="18.0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ht="18.0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ht="18.0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ht="18.0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ht="18.0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ht="18.0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ht="18.0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ht="18.0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ht="18.0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ht="18.0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ht="18.0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ht="18.0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ht="18.0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ht="18.0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ht="18.0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ht="18.0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ht="18.0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ht="18.0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ht="18.0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ht="18.0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ht="18.0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ht="18.0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ht="18.0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ht="18.0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ht="18.0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ht="18.0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ht="18.0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ht="18.0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ht="18.0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ht="18.0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ht="18.0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ht="18.0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ht="18.0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ht="18.0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ht="18.0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ht="18.0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ht="18.0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ht="18.0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ht="18.0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ht="18.0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ht="18.0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ht="18.0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ht="18.0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ht="18.0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ht="18.0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ht="18.0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ht="18.0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ht="18.0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ht="18.0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ht="18.0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ht="18.0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ht="18.0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ht="18.0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ht="18.0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ht="18.0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ht="18.0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ht="18.0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ht="18.0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ht="18.0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ht="18.0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ht="18.0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ht="18.0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ht="18.0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ht="18.0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ht="18.0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ht="18.0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ht="18.0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ht="18.0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ht="18.0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ht="18.0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ht="18.0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ht="18.0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ht="18.0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ht="18.0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ht="18.0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ht="18.0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ht="18.0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ht="18.0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ht="18.0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ht="18.0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ht="18.0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ht="18.0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ht="18.0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ht="18.0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ht="18.0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ht="18.0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ht="18.0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ht="18.0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ht="18.0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ht="18.0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ht="18.0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ht="18.0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ht="18.0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ht="18.0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ht="18.0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ht="18.0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ht="18.0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ht="18.0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ht="18.0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ht="18.0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ht="18.0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ht="18.0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ht="18.0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ht="18.0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ht="18.0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ht="18.0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ht="18.0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ht="18.0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ht="18.0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ht="18.0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ht="18.0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ht="18.0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ht="18.0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ht="18.0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ht="18.0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ht="18.0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ht="18.0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ht="18.0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ht="18.0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ht="18.0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ht="18.0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ht="18.0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ht="18.0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ht="18.0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ht="18.0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ht="18.0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ht="18.0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ht="18.0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ht="18.0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ht="18.0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ht="18.0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ht="18.0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ht="18.0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ht="18.0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ht="18.0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ht="18.0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ht="18.0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ht="18.0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ht="18.0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ht="18.0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ht="18.0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ht="18.0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ht="18.0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ht="18.0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ht="18.0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ht="18.0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ht="18.0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ht="18.0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ht="18.0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ht="18.0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ht="18.0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ht="18.0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ht="18.0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ht="18.0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ht="18.0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ht="18.0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ht="18.0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ht="18.0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ht="18.0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ht="18.0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ht="18.0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ht="18.0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ht="18.0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ht="18.0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ht="18.0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ht="18.0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ht="18.0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ht="18.0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ht="18.0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ht="18.0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ht="18.0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ht="18.0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ht="18.0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ht="18.0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ht="18.0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ht="18.0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ht="18.0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ht="18.0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ht="18.0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ht="18.0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ht="18.0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ht="18.0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ht="18.0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ht="18.0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ht="18.0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ht="18.0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ht="18.0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ht="18.0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ht="18.0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ht="18.0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ht="18.0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ht="18.0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ht="18.0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ht="18.0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ht="18.0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ht="18.0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ht="18.0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ht="18.0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ht="18.0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ht="18.0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ht="18.0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ht="18.0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ht="18.0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ht="18.0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ht="18.0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ht="18.0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ht="18.0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ht="18.0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ht="18.0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ht="18.0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ht="18.0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ht="18.0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ht="18.0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ht="18.0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ht="18.0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ht="18.0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ht="18.0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ht="18.0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ht="18.0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ht="18.0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ht="18.0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ht="18.0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ht="18.0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ht="18.0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ht="18.0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ht="18.0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ht="18.0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ht="18.0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ht="18.0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ht="18.0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ht="18.0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ht="18.0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ht="18.0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ht="18.0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ht="18.0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ht="18.0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ht="18.0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ht="18.0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ht="18.0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ht="18.0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ht="18.0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ht="18.0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ht="18.0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ht="18.0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ht="18.0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ht="18.0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ht="18.0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ht="18.0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ht="18.0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ht="18.0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ht="18.0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ht="18.0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ht="18.0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ht="18.0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ht="18.0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ht="18.0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ht="18.0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ht="18.0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ht="18.0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ht="18.0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ht="18.0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ht="18.0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ht="18.0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ht="18.0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ht="18.0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ht="18.0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ht="18.0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ht="18.0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ht="18.0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ht="18.0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ht="18.0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ht="18.0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ht="18.0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ht="18.0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ht="18.0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ht="18.0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ht="18.0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ht="18.0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ht="18.0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ht="18.0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ht="18.0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ht="18.0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ht="18.0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ht="18.0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ht="18.0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ht="18.0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ht="18.0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ht="18.0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ht="18.0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ht="18.0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ht="18.0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ht="18.0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ht="18.0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ht="18.0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ht="18.0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ht="18.0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ht="18.0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ht="18.0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ht="18.0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ht="18.0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ht="18.0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ht="18.0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ht="18.0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ht="18.0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ht="18.0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ht="18.0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ht="18.0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ht="18.0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ht="18.0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ht="18.0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ht="18.0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ht="18.0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ht="18.0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ht="18.0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ht="18.0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ht="18.0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ht="18.0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ht="18.0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ht="18.0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ht="18.0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ht="18.0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ht="18.0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ht="18.0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ht="18.0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ht="18.0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ht="18.0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ht="18.0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ht="18.0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ht="18.0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ht="18.0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ht="18.0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ht="18.0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ht="18.0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ht="18.0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ht="18.0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ht="18.0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ht="18.0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ht="18.0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ht="18.0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ht="18.0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ht="18.0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ht="18.0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ht="18.0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ht="18.0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ht="18.0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ht="18.0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ht="18.0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ht="18.0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ht="18.0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ht="18.0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ht="18.0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ht="18.0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ht="18.0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ht="18.0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ht="18.0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ht="18.0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ht="18.0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 ht="18.0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</row>
    <row r="852" ht="18.0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</row>
    <row r="853" ht="18.0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</row>
    <row r="854" ht="18.0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</row>
    <row r="855" ht="18.0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</row>
    <row r="856" ht="18.0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</row>
    <row r="857" ht="18.0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 ht="18.0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</row>
    <row r="859" ht="18.0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</row>
    <row r="860" ht="18.0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</row>
    <row r="861" ht="18.0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</row>
    <row r="862" ht="18.0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</row>
    <row r="863" ht="18.0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</row>
    <row r="864" ht="18.0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 ht="18.0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</row>
    <row r="866" ht="18.0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</row>
    <row r="867" ht="18.0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</row>
    <row r="868" ht="18.0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</row>
    <row r="869" ht="18.0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</row>
    <row r="870" ht="18.0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</row>
    <row r="871" ht="18.0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 ht="18.0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</row>
    <row r="873" ht="18.0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</row>
    <row r="874" ht="18.0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</row>
    <row r="875" ht="18.0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</row>
    <row r="876" ht="18.0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</row>
    <row r="877" ht="18.0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</row>
    <row r="878" ht="18.0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 ht="18.0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</row>
    <row r="880" ht="18.0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</row>
    <row r="881" ht="18.0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</row>
    <row r="882" ht="18.0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</row>
    <row r="883" ht="18.0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</row>
    <row r="884" ht="18.0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</row>
    <row r="885" ht="18.0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 ht="18.0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</row>
    <row r="887" ht="18.0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</row>
    <row r="888" ht="18.0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</row>
    <row r="889" ht="18.0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</row>
    <row r="890" ht="18.0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</row>
    <row r="891" ht="18.0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</row>
    <row r="892" ht="18.0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 ht="18.0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</row>
    <row r="894" ht="18.0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</row>
    <row r="895" ht="18.0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</row>
    <row r="896" ht="18.0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</row>
    <row r="897" ht="18.0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</row>
    <row r="898" ht="18.0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</row>
    <row r="899" ht="18.0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 ht="18.0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</row>
    <row r="901" ht="18.0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</row>
    <row r="902" ht="18.0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</row>
    <row r="903" ht="18.0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</row>
    <row r="904" ht="18.0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</row>
    <row r="905" ht="18.0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</row>
    <row r="906" ht="18.0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 ht="18.0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</row>
    <row r="908" ht="18.0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</row>
    <row r="909" ht="18.0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</row>
    <row r="910" ht="18.0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</row>
    <row r="911" ht="18.0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</row>
    <row r="912" ht="18.0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</row>
    <row r="913" ht="18.0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 ht="18.0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</row>
    <row r="915" ht="18.0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</row>
    <row r="916" ht="18.0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</row>
    <row r="917" ht="18.0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</row>
    <row r="918" ht="18.0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</row>
    <row r="919" ht="18.0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</row>
    <row r="920" ht="18.0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 ht="18.0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</row>
    <row r="922" ht="18.0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</row>
    <row r="923" ht="18.0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</row>
    <row r="924" ht="18.0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</row>
    <row r="925" ht="18.0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</row>
    <row r="926" ht="18.0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</row>
    <row r="927" ht="18.0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 ht="18.0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</row>
    <row r="929" ht="18.0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</row>
    <row r="930" ht="18.0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</row>
    <row r="931" ht="18.0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</row>
    <row r="932" ht="18.0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</row>
    <row r="933" ht="18.0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</row>
    <row r="934" ht="18.0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 ht="18.0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</row>
    <row r="936" ht="18.0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</row>
    <row r="937" ht="18.0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</row>
    <row r="938" ht="18.0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</row>
    <row r="939" ht="18.0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</row>
    <row r="940" ht="18.0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</row>
    <row r="941" ht="18.0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 ht="18.0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</row>
    <row r="943" ht="18.0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</row>
    <row r="944" ht="18.0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</row>
    <row r="945" ht="18.0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</row>
    <row r="946" ht="18.0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</row>
    <row r="947" ht="18.0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</row>
    <row r="948" ht="18.0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 ht="18.0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</row>
    <row r="950" ht="18.0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</row>
    <row r="951" ht="18.0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</row>
    <row r="952" ht="18.0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</row>
    <row r="953" ht="18.0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</row>
    <row r="954" ht="18.0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</row>
    <row r="955" ht="18.0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</row>
    <row r="956" ht="18.0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</row>
    <row r="957" ht="18.0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</row>
    <row r="958" ht="18.0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</row>
    <row r="959" ht="18.0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</row>
    <row r="960" ht="18.0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</row>
    <row r="961" ht="18.0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</row>
    <row r="962" ht="18.0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</row>
    <row r="963" ht="18.0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</row>
    <row r="964" ht="18.0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</row>
    <row r="965" ht="18.0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</row>
    <row r="966" ht="18.0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</row>
    <row r="967" ht="18.0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</row>
    <row r="968" ht="18.0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</row>
    <row r="969" ht="18.0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</row>
    <row r="970" ht="18.0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</row>
    <row r="971" ht="18.0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</row>
    <row r="972" ht="18.0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</row>
    <row r="973" ht="18.0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</row>
    <row r="974" ht="18.0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</row>
    <row r="975" ht="18.0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</row>
    <row r="976" ht="18.0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</row>
    <row r="977" ht="18.0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</row>
    <row r="978" ht="18.0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</row>
    <row r="979" ht="18.0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</row>
    <row r="980" ht="18.0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</row>
    <row r="981" ht="18.0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</row>
    <row r="982" ht="18.0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</row>
    <row r="983" ht="18.0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</row>
    <row r="984" ht="18.0" customHeight="1">
      <c r="A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</row>
    <row r="985" ht="18.0" customHeight="1">
      <c r="A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</row>
    <row r="986" ht="18.0" customHeight="1">
      <c r="A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</row>
    <row r="987" ht="18.0" customHeight="1">
      <c r="A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</row>
    <row r="988" ht="18.0" customHeight="1">
      <c r="A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</row>
    <row r="989" ht="18.0" customHeight="1">
      <c r="A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</row>
    <row r="990" ht="18.0" customHeight="1">
      <c r="A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</row>
  </sheetData>
  <mergeCells count="9">
    <mergeCell ref="B5:C5"/>
    <mergeCell ref="B6:C7"/>
    <mergeCell ref="B2:B3"/>
    <mergeCell ref="C2:C3"/>
    <mergeCell ref="E2:M3"/>
    <mergeCell ref="U2:W3"/>
    <mergeCell ref="X2:Z3"/>
    <mergeCell ref="E5:S5"/>
    <mergeCell ref="U5:Z5"/>
  </mergeCells>
  <conditionalFormatting sqref="X4:Z4 X2">
    <cfRule type="cellIs" dxfId="0" priority="1" operator="greaterThan">
      <formula>0</formula>
    </cfRule>
  </conditionalFormatting>
  <conditionalFormatting sqref="X4:Z4 X2">
    <cfRule type="cellIs" dxfId="1" priority="2" operator="lessThan">
      <formula>0</formula>
    </cfRule>
  </conditionalFormatting>
  <conditionalFormatting sqref="B16">
    <cfRule type="cellIs" dxfId="0" priority="3" operator="greaterThan">
      <formula>0</formula>
    </cfRule>
  </conditionalFormatting>
  <conditionalFormatting sqref="B16">
    <cfRule type="cellIs" dxfId="1" priority="4" operator="lessThan">
      <formula>0</formula>
    </cfRule>
  </conditionalFormatting>
  <conditionalFormatting sqref="B19">
    <cfRule type="cellIs" dxfId="0" priority="5" operator="greaterThan">
      <formula>0</formula>
    </cfRule>
  </conditionalFormatting>
  <conditionalFormatting sqref="B19">
    <cfRule type="cellIs" dxfId="1" priority="6" operator="lessThan">
      <formula>0</formula>
    </cfRule>
  </conditionalFormatting>
  <conditionalFormatting sqref="B22">
    <cfRule type="cellIs" dxfId="0" priority="7" operator="greaterThan">
      <formula>0</formula>
    </cfRule>
  </conditionalFormatting>
  <conditionalFormatting sqref="B22">
    <cfRule type="cellIs" dxfId="1" priority="8" operator="lessThan">
      <formula>0</formula>
    </cfRule>
  </conditionalFormatting>
  <conditionalFormatting sqref="B25">
    <cfRule type="cellIs" dxfId="0" priority="9" operator="greaterThan">
      <formula>0</formula>
    </cfRule>
  </conditionalFormatting>
  <conditionalFormatting sqref="B25">
    <cfRule type="cellIs" dxfId="1" priority="10" operator="lessThan">
      <formula>0</formula>
    </cfRule>
  </conditionalFormatting>
  <conditionalFormatting sqref="B28">
    <cfRule type="cellIs" dxfId="0" priority="11" operator="greaterThan">
      <formula>0</formula>
    </cfRule>
  </conditionalFormatting>
  <conditionalFormatting sqref="B28">
    <cfRule type="cellIs" dxfId="1" priority="12" operator="lessThan">
      <formula>0</formula>
    </cfRule>
  </conditionalFormatting>
  <conditionalFormatting sqref="B10">
    <cfRule type="cellIs" dxfId="0" priority="13" operator="greaterThan">
      <formula>0</formula>
    </cfRule>
  </conditionalFormatting>
  <conditionalFormatting sqref="B10">
    <cfRule type="cellIs" dxfId="1" priority="14" operator="lessThan">
      <formula>0</formula>
    </cfRule>
  </conditionalFormatting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>
    <row r="1">
      <c r="A1" s="388" t="s">
        <v>28</v>
      </c>
    </row>
    <row r="2">
      <c r="A2" s="117" t="s">
        <v>45</v>
      </c>
    </row>
    <row r="3">
      <c r="A3" s="117" t="s">
        <v>98</v>
      </c>
    </row>
    <row r="4">
      <c r="A4" s="117" t="s">
        <v>86</v>
      </c>
    </row>
    <row r="5">
      <c r="A5" s="117" t="s">
        <v>83</v>
      </c>
    </row>
    <row r="6">
      <c r="A6" s="117" t="s">
        <v>126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>
    <row r="1">
      <c r="A1" s="116" t="s">
        <v>42</v>
      </c>
      <c r="B1" s="117" t="s">
        <v>43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DD7EE"/>
    <pageSetUpPr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13.11"/>
    <col customWidth="1" min="3" max="3" width="12.56"/>
    <col customWidth="1" min="4" max="4" width="2.56"/>
    <col customWidth="1" min="5" max="5" width="8.44"/>
    <col customWidth="1" min="6" max="6" width="4.67"/>
    <col customWidth="1" min="7" max="7" width="7.33"/>
    <col customWidth="1" min="8" max="8" width="8.44"/>
    <col customWidth="1" min="9" max="9" width="5.56"/>
    <col customWidth="1" min="10" max="10" width="4.22"/>
    <col customWidth="1" min="11" max="11" width="5.0"/>
    <col customWidth="1" min="12" max="12" width="7.22"/>
    <col customWidth="1" min="13" max="13" width="17.78"/>
    <col customWidth="1" min="14" max="14" width="9.11"/>
    <col customWidth="1" min="15" max="15" width="9.22"/>
    <col customWidth="1" min="16" max="17" width="7.78"/>
    <col customWidth="1" min="18" max="19" width="7.67"/>
    <col customWidth="1" min="20" max="20" width="2.56"/>
    <col customWidth="1" min="21" max="22" width="9.44"/>
    <col customWidth="1" min="23" max="23" width="7.33"/>
    <col customWidth="1" min="24" max="24" width="5.44"/>
    <col customWidth="1" min="25" max="26" width="9.44"/>
    <col customWidth="1" min="27" max="27" width="2.56"/>
    <col customWidth="1" min="28" max="28" width="8.0"/>
    <col customWidth="1" min="29" max="29" width="11.22"/>
  </cols>
  <sheetData>
    <row r="1" ht="15.0" customHeight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</row>
    <row r="2" ht="18.0" customHeight="1">
      <c r="A2" s="6"/>
      <c r="B2" s="7" t="s">
        <v>0</v>
      </c>
      <c r="C2" s="118" t="s">
        <v>44</v>
      </c>
      <c r="D2" s="9"/>
      <c r="E2" s="10" t="str">
        <f>IFERROR(__xludf.DUMMYFUNCTION("googlefinance(C2, ""name"")"),"Wells Fargo &amp; Co")</f>
        <v>Wells Fargo &amp; Co</v>
      </c>
      <c r="F2" s="11"/>
      <c r="G2" s="11"/>
      <c r="H2" s="11"/>
      <c r="I2" s="11"/>
      <c r="J2" s="11"/>
      <c r="K2" s="11"/>
      <c r="L2" s="11"/>
      <c r="M2" s="12"/>
      <c r="N2" s="119"/>
      <c r="O2" s="15"/>
      <c r="P2" s="15"/>
      <c r="Q2" s="15"/>
      <c r="R2" s="15"/>
      <c r="S2" s="15"/>
      <c r="T2" s="15"/>
      <c r="U2" s="16" t="s">
        <v>2</v>
      </c>
      <c r="V2" s="17"/>
      <c r="W2" s="18"/>
      <c r="X2" s="120">
        <f>B16</f>
        <v>2953</v>
      </c>
      <c r="Y2" s="11"/>
      <c r="Z2" s="20"/>
      <c r="AA2" s="21"/>
      <c r="AB2" s="5"/>
      <c r="AC2" s="5"/>
    </row>
    <row r="3" ht="18.0" customHeight="1">
      <c r="A3" s="22"/>
      <c r="B3" s="23"/>
      <c r="C3" s="23"/>
      <c r="D3" s="24"/>
      <c r="E3" s="25"/>
      <c r="F3" s="26"/>
      <c r="G3" s="26"/>
      <c r="H3" s="26"/>
      <c r="I3" s="26"/>
      <c r="J3" s="26"/>
      <c r="K3" s="26"/>
      <c r="L3" s="26"/>
      <c r="M3" s="27"/>
      <c r="N3" s="13"/>
      <c r="O3" s="15"/>
      <c r="P3" s="15"/>
      <c r="Q3" s="15"/>
      <c r="R3" s="15"/>
      <c r="S3" s="15"/>
      <c r="T3" s="15"/>
      <c r="U3" s="28"/>
      <c r="V3" s="26"/>
      <c r="W3" s="29"/>
      <c r="X3" s="30"/>
      <c r="Y3" s="31"/>
      <c r="Z3" s="32"/>
      <c r="AA3" s="33"/>
      <c r="AB3" s="5"/>
      <c r="AC3" s="5"/>
    </row>
    <row r="4" ht="15.0" customHeight="1">
      <c r="A4" s="34"/>
      <c r="B4" s="35"/>
      <c r="C4" s="35"/>
      <c r="D4" s="36"/>
      <c r="E4" s="36"/>
      <c r="F4" s="36"/>
      <c r="G4" s="36"/>
      <c r="H4" s="36"/>
      <c r="I4" s="36"/>
      <c r="J4" s="121"/>
      <c r="K4" s="121"/>
      <c r="L4" s="121"/>
      <c r="M4" s="122"/>
      <c r="N4" s="122"/>
      <c r="O4" s="15"/>
      <c r="P4" s="15"/>
      <c r="Q4" s="15"/>
      <c r="R4" s="15"/>
      <c r="S4" s="15"/>
      <c r="T4" s="15"/>
      <c r="U4" s="38"/>
      <c r="V4" s="38"/>
      <c r="W4" s="38"/>
      <c r="X4" s="39"/>
      <c r="Y4" s="39"/>
      <c r="Z4" s="39"/>
      <c r="AA4" s="33"/>
      <c r="AB4" s="5"/>
      <c r="AC4" s="5"/>
    </row>
    <row r="5" ht="18.0" customHeight="1">
      <c r="A5" s="34"/>
      <c r="B5" s="41" t="s">
        <v>3</v>
      </c>
      <c r="C5" s="42"/>
      <c r="D5" s="123"/>
      <c r="E5" s="124" t="s">
        <v>4</v>
      </c>
      <c r="T5" s="43"/>
      <c r="U5" s="44" t="s">
        <v>5</v>
      </c>
      <c r="V5" s="45"/>
      <c r="W5" s="45"/>
      <c r="X5" s="45"/>
      <c r="Y5" s="45"/>
      <c r="Z5" s="46"/>
      <c r="AA5" s="48"/>
      <c r="AB5" s="5"/>
      <c r="AC5" s="5"/>
    </row>
    <row r="6" ht="18.0" customHeight="1">
      <c r="A6" s="34"/>
      <c r="B6" s="125">
        <f>IFERROR(__xludf.DUMMYFUNCTION("googlefinance(C2,""price"")"),75.25)</f>
        <v>75.25</v>
      </c>
      <c r="C6" s="50"/>
      <c r="D6" s="123"/>
      <c r="E6" s="51" t="s">
        <v>6</v>
      </c>
      <c r="F6" s="52" t="s">
        <v>7</v>
      </c>
      <c r="G6" s="52" t="s">
        <v>8</v>
      </c>
      <c r="H6" s="53" t="s">
        <v>9</v>
      </c>
      <c r="I6" s="52" t="s">
        <v>10</v>
      </c>
      <c r="J6" s="52" t="s">
        <v>11</v>
      </c>
      <c r="K6" s="52" t="s">
        <v>12</v>
      </c>
      <c r="L6" s="51" t="s">
        <v>13</v>
      </c>
      <c r="M6" s="52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4" t="s">
        <v>19</v>
      </c>
      <c r="S6" s="51" t="s">
        <v>20</v>
      </c>
      <c r="T6" s="43"/>
      <c r="U6" s="51" t="s">
        <v>21</v>
      </c>
      <c r="V6" s="52" t="s">
        <v>22</v>
      </c>
      <c r="W6" s="52" t="s">
        <v>8</v>
      </c>
      <c r="X6" s="53" t="s">
        <v>23</v>
      </c>
      <c r="Y6" s="52" t="s">
        <v>24</v>
      </c>
      <c r="Z6" s="52" t="s">
        <v>25</v>
      </c>
      <c r="AA6" s="48"/>
      <c r="AB6" s="5"/>
      <c r="AC6" s="5"/>
    </row>
    <row r="7" ht="18.0" customHeight="1">
      <c r="A7" s="34"/>
      <c r="B7" s="55"/>
      <c r="C7" s="56"/>
      <c r="D7" s="123"/>
      <c r="E7" s="57">
        <v>44327.0</v>
      </c>
      <c r="F7" s="58" t="s">
        <v>26</v>
      </c>
      <c r="G7" s="58" t="s">
        <v>27</v>
      </c>
      <c r="H7" s="57">
        <v>44330.0</v>
      </c>
      <c r="I7" s="59">
        <v>46.0</v>
      </c>
      <c r="J7" s="60">
        <v>1.0</v>
      </c>
      <c r="K7" s="59">
        <v>0.28</v>
      </c>
      <c r="L7" s="61">
        <f t="shared" ref="L7:L32" si="1">IF(E7="","",IF(AND(F7="Stock",G7="Buy"),(100*((J7*K7)*-1)),IF(AND(F7="Call",G7="Buy"),(100*((J7*K7)*-1)),IF(AND(F7="PUT",G7="Buy"),(100*((J7*K7)*-1)),100*(J7*K7)))))</f>
        <v>28</v>
      </c>
      <c r="M7" s="89" t="s">
        <v>45</v>
      </c>
      <c r="N7" s="63"/>
      <c r="O7" s="64"/>
      <c r="P7" s="61">
        <f t="shared" ref="P7:P32" si="2">IF(E7="","",IF(AND(F7="Stock",G7="Buy"),(100*((J7*O7)*1)),IF(AND(F7="Call",G7="Buy"),(100*((J7*O7)*1)),IF(AND(F7="PUT",G7="Buy"),(100*((J7*O7)*1)),(100*(J7*O7))*-1))))</f>
        <v>0</v>
      </c>
      <c r="Q7" s="61">
        <f t="shared" ref="Q7:Q32" si="3">IF(L7="","",L7+P7)</f>
        <v>28</v>
      </c>
      <c r="R7" s="65">
        <f>K7/B6</f>
        <v>0.003720930233</v>
      </c>
      <c r="S7" s="66">
        <f t="shared" ref="S7:S32" si="4">IF(AND(E7="",N7=""),"",IF(N7="",TODAY()-E7,N7-E7))</f>
        <v>1766</v>
      </c>
      <c r="T7" s="43"/>
      <c r="U7" s="126">
        <v>44327.0</v>
      </c>
      <c r="V7" s="127"/>
      <c r="W7" s="128" t="s">
        <v>29</v>
      </c>
      <c r="X7" s="129">
        <v>100.0</v>
      </c>
      <c r="Y7" s="130">
        <v>46.0</v>
      </c>
      <c r="Z7" s="131">
        <f t="shared" ref="Z7:Z31" si="5">IF(X7="","",(X7*Y7)*-1)</f>
        <v>-4600</v>
      </c>
      <c r="AA7" s="48"/>
      <c r="AB7" s="5"/>
      <c r="AC7" s="5"/>
    </row>
    <row r="8" ht="18.0" customHeight="1">
      <c r="A8" s="34"/>
      <c r="B8" s="37"/>
      <c r="C8" s="37"/>
      <c r="D8" s="123"/>
      <c r="E8" s="132"/>
      <c r="F8" s="127"/>
      <c r="G8" s="127"/>
      <c r="H8" s="132"/>
      <c r="I8" s="133"/>
      <c r="J8" s="134"/>
      <c r="K8" s="133"/>
      <c r="L8" s="135" t="str">
        <f t="shared" si="1"/>
        <v/>
      </c>
      <c r="M8" s="127"/>
      <c r="N8" s="132"/>
      <c r="O8" s="136"/>
      <c r="P8" s="135" t="str">
        <f t="shared" si="2"/>
        <v/>
      </c>
      <c r="Q8" s="135" t="str">
        <f t="shared" si="3"/>
        <v/>
      </c>
      <c r="R8" s="137"/>
      <c r="S8" s="137" t="str">
        <f t="shared" si="4"/>
        <v/>
      </c>
      <c r="T8" s="43"/>
      <c r="U8" s="132"/>
      <c r="V8" s="127"/>
      <c r="W8" s="127"/>
      <c r="X8" s="138"/>
      <c r="Y8" s="133"/>
      <c r="Z8" s="131" t="str">
        <f t="shared" si="5"/>
        <v/>
      </c>
      <c r="AA8" s="48"/>
      <c r="AB8" s="5"/>
      <c r="AC8" s="5"/>
    </row>
    <row r="9" ht="18.0" customHeight="1">
      <c r="A9" s="6"/>
      <c r="B9" s="51" t="s">
        <v>30</v>
      </c>
      <c r="C9" s="51" t="s">
        <v>31</v>
      </c>
      <c r="D9" s="139"/>
      <c r="E9" s="132"/>
      <c r="F9" s="127"/>
      <c r="G9" s="127"/>
      <c r="H9" s="132"/>
      <c r="I9" s="133"/>
      <c r="J9" s="140"/>
      <c r="K9" s="133"/>
      <c r="L9" s="135" t="str">
        <f t="shared" si="1"/>
        <v/>
      </c>
      <c r="M9" s="127"/>
      <c r="N9" s="132"/>
      <c r="O9" s="136"/>
      <c r="P9" s="135" t="str">
        <f t="shared" si="2"/>
        <v/>
      </c>
      <c r="Q9" s="135" t="str">
        <f t="shared" si="3"/>
        <v/>
      </c>
      <c r="R9" s="137"/>
      <c r="S9" s="137" t="str">
        <f t="shared" si="4"/>
        <v/>
      </c>
      <c r="T9" s="43"/>
      <c r="U9" s="126"/>
      <c r="V9" s="127"/>
      <c r="W9" s="127"/>
      <c r="X9" s="138"/>
      <c r="Y9" s="133"/>
      <c r="Z9" s="131" t="str">
        <f t="shared" si="5"/>
        <v/>
      </c>
      <c r="AA9" s="72"/>
      <c r="AB9" s="5"/>
      <c r="AC9" s="5"/>
    </row>
    <row r="10" ht="18.0" customHeight="1">
      <c r="A10" s="6"/>
      <c r="B10" s="131">
        <f>IF(X7="",0,SUM(Z7:Z32))</f>
        <v>-4600</v>
      </c>
      <c r="C10" s="131">
        <f>IF(SUM(X7:X24)=0,0,B6*(SUM(X7:X444)))</f>
        <v>7525</v>
      </c>
      <c r="D10" s="139"/>
      <c r="E10" s="132"/>
      <c r="F10" s="127"/>
      <c r="G10" s="127"/>
      <c r="H10" s="132"/>
      <c r="I10" s="133"/>
      <c r="J10" s="140"/>
      <c r="K10" s="133"/>
      <c r="L10" s="135" t="str">
        <f t="shared" si="1"/>
        <v/>
      </c>
      <c r="M10" s="127"/>
      <c r="N10" s="132"/>
      <c r="O10" s="136"/>
      <c r="P10" s="135" t="str">
        <f t="shared" si="2"/>
        <v/>
      </c>
      <c r="Q10" s="135" t="str">
        <f t="shared" si="3"/>
        <v/>
      </c>
      <c r="R10" s="137"/>
      <c r="S10" s="137" t="str">
        <f t="shared" si="4"/>
        <v/>
      </c>
      <c r="T10" s="43"/>
      <c r="U10" s="132"/>
      <c r="V10" s="127"/>
      <c r="W10" s="127"/>
      <c r="X10" s="138"/>
      <c r="Y10" s="133"/>
      <c r="Z10" s="131" t="str">
        <f t="shared" si="5"/>
        <v/>
      </c>
      <c r="AA10" s="72"/>
      <c r="AB10" s="5"/>
      <c r="AC10" s="5"/>
    </row>
    <row r="11" ht="18.0" customHeight="1">
      <c r="A11" s="75"/>
      <c r="B11" s="76"/>
      <c r="C11" s="77"/>
      <c r="D11" s="141"/>
      <c r="E11" s="126"/>
      <c r="F11" s="127"/>
      <c r="G11" s="127"/>
      <c r="H11" s="132"/>
      <c r="I11" s="133"/>
      <c r="J11" s="140"/>
      <c r="K11" s="133"/>
      <c r="L11" s="135" t="str">
        <f t="shared" si="1"/>
        <v/>
      </c>
      <c r="M11" s="128"/>
      <c r="N11" s="126"/>
      <c r="O11" s="142"/>
      <c r="P11" s="135" t="str">
        <f t="shared" si="2"/>
        <v/>
      </c>
      <c r="Q11" s="135" t="str">
        <f t="shared" si="3"/>
        <v/>
      </c>
      <c r="R11" s="137"/>
      <c r="S11" s="137" t="str">
        <f t="shared" si="4"/>
        <v/>
      </c>
      <c r="T11" s="43"/>
      <c r="U11" s="132"/>
      <c r="V11" s="127"/>
      <c r="W11" s="127"/>
      <c r="X11" s="138"/>
      <c r="Y11" s="133"/>
      <c r="Z11" s="131" t="str">
        <f t="shared" si="5"/>
        <v/>
      </c>
      <c r="AA11" s="72"/>
      <c r="AB11" s="5"/>
      <c r="AC11" s="5"/>
    </row>
    <row r="12" ht="18.0" customHeight="1">
      <c r="A12" s="6"/>
      <c r="B12" s="51" t="s">
        <v>32</v>
      </c>
      <c r="C12" s="51" t="s">
        <v>33</v>
      </c>
      <c r="D12" s="139"/>
      <c r="E12" s="132"/>
      <c r="F12" s="127"/>
      <c r="G12" s="127"/>
      <c r="H12" s="132"/>
      <c r="I12" s="133"/>
      <c r="J12" s="134"/>
      <c r="K12" s="133"/>
      <c r="L12" s="135" t="str">
        <f t="shared" si="1"/>
        <v/>
      </c>
      <c r="M12" s="127"/>
      <c r="N12" s="132"/>
      <c r="O12" s="136"/>
      <c r="P12" s="135" t="str">
        <f t="shared" si="2"/>
        <v/>
      </c>
      <c r="Q12" s="135" t="str">
        <f t="shared" si="3"/>
        <v/>
      </c>
      <c r="R12" s="137"/>
      <c r="S12" s="137" t="str">
        <f t="shared" si="4"/>
        <v/>
      </c>
      <c r="T12" s="43"/>
      <c r="U12" s="132"/>
      <c r="V12" s="127"/>
      <c r="W12" s="127"/>
      <c r="X12" s="138"/>
      <c r="Y12" s="133"/>
      <c r="Z12" s="131" t="str">
        <f t="shared" si="5"/>
        <v/>
      </c>
      <c r="AA12" s="72"/>
      <c r="AB12" s="5"/>
      <c r="AC12" s="5"/>
    </row>
    <row r="13" ht="18.0" customHeight="1">
      <c r="A13" s="6"/>
      <c r="B13" s="131">
        <f>IF(X7="",0,(B10/SUM(X7:X32))*-1)</f>
        <v>46</v>
      </c>
      <c r="C13" s="131">
        <f>IF(X7="",0,((SUM(B22,B10)/SUM(X7:X32)))*-1)</f>
        <v>45.72</v>
      </c>
      <c r="D13" s="139"/>
      <c r="E13" s="132"/>
      <c r="F13" s="127"/>
      <c r="G13" s="127"/>
      <c r="H13" s="132"/>
      <c r="I13" s="133"/>
      <c r="J13" s="134"/>
      <c r="K13" s="133"/>
      <c r="L13" s="135" t="str">
        <f t="shared" si="1"/>
        <v/>
      </c>
      <c r="M13" s="127"/>
      <c r="N13" s="132"/>
      <c r="O13" s="136"/>
      <c r="P13" s="135" t="str">
        <f t="shared" si="2"/>
        <v/>
      </c>
      <c r="Q13" s="135" t="str">
        <f t="shared" si="3"/>
        <v/>
      </c>
      <c r="R13" s="137"/>
      <c r="S13" s="137" t="str">
        <f t="shared" si="4"/>
        <v/>
      </c>
      <c r="T13" s="43"/>
      <c r="U13" s="132"/>
      <c r="V13" s="127"/>
      <c r="W13" s="127"/>
      <c r="X13" s="138"/>
      <c r="Y13" s="133"/>
      <c r="Z13" s="131" t="str">
        <f t="shared" si="5"/>
        <v/>
      </c>
      <c r="AA13" s="72"/>
      <c r="AB13" s="5"/>
      <c r="AC13" s="5"/>
    </row>
    <row r="14" ht="18.0" customHeight="1">
      <c r="A14" s="75"/>
      <c r="B14" s="77"/>
      <c r="C14" s="77"/>
      <c r="D14" s="141"/>
      <c r="E14" s="132"/>
      <c r="F14" s="127"/>
      <c r="G14" s="127"/>
      <c r="H14" s="132"/>
      <c r="I14" s="133"/>
      <c r="J14" s="134"/>
      <c r="K14" s="133"/>
      <c r="L14" s="135" t="str">
        <f t="shared" si="1"/>
        <v/>
      </c>
      <c r="M14" s="127"/>
      <c r="N14" s="132"/>
      <c r="O14" s="136"/>
      <c r="P14" s="135" t="str">
        <f t="shared" si="2"/>
        <v/>
      </c>
      <c r="Q14" s="135" t="str">
        <f t="shared" si="3"/>
        <v/>
      </c>
      <c r="R14" s="137"/>
      <c r="S14" s="137" t="str">
        <f t="shared" si="4"/>
        <v/>
      </c>
      <c r="T14" s="43"/>
      <c r="U14" s="132"/>
      <c r="V14" s="127"/>
      <c r="W14" s="127"/>
      <c r="X14" s="138"/>
      <c r="Y14" s="133"/>
      <c r="Z14" s="131" t="str">
        <f t="shared" si="5"/>
        <v/>
      </c>
      <c r="AA14" s="72"/>
      <c r="AB14" s="5"/>
      <c r="AC14" s="81"/>
    </row>
    <row r="15" ht="18.0" customHeight="1">
      <c r="A15" s="6"/>
      <c r="B15" s="51" t="s">
        <v>34</v>
      </c>
      <c r="C15" s="54" t="s">
        <v>35</v>
      </c>
      <c r="D15" s="139"/>
      <c r="E15" s="132"/>
      <c r="F15" s="127"/>
      <c r="G15" s="127"/>
      <c r="H15" s="132"/>
      <c r="I15" s="133"/>
      <c r="J15" s="134"/>
      <c r="K15" s="133"/>
      <c r="L15" s="135" t="str">
        <f t="shared" si="1"/>
        <v/>
      </c>
      <c r="M15" s="127"/>
      <c r="N15" s="132"/>
      <c r="O15" s="136"/>
      <c r="P15" s="135" t="str">
        <f t="shared" si="2"/>
        <v/>
      </c>
      <c r="Q15" s="135" t="str">
        <f t="shared" si="3"/>
        <v/>
      </c>
      <c r="R15" s="137"/>
      <c r="S15" s="137" t="str">
        <f t="shared" si="4"/>
        <v/>
      </c>
      <c r="T15" s="78"/>
      <c r="U15" s="132"/>
      <c r="V15" s="127"/>
      <c r="W15" s="127"/>
      <c r="X15" s="138"/>
      <c r="Y15" s="133"/>
      <c r="Z15" s="131" t="str">
        <f t="shared" si="5"/>
        <v/>
      </c>
      <c r="AA15" s="72"/>
      <c r="AB15" s="5"/>
      <c r="AC15" s="5"/>
    </row>
    <row r="16" ht="18.0" customHeight="1">
      <c r="A16" s="6"/>
      <c r="B16" s="131">
        <f>SUM(B19,B22)</f>
        <v>2953</v>
      </c>
      <c r="C16" s="143">
        <f>IF(B10=0,1,($B$16/$B$10)*-1)</f>
        <v>0.6419565217</v>
      </c>
      <c r="D16" s="139"/>
      <c r="E16" s="132"/>
      <c r="F16" s="127"/>
      <c r="G16" s="127"/>
      <c r="H16" s="132"/>
      <c r="I16" s="133"/>
      <c r="J16" s="134"/>
      <c r="K16" s="133"/>
      <c r="L16" s="135" t="str">
        <f t="shared" si="1"/>
        <v/>
      </c>
      <c r="M16" s="127"/>
      <c r="N16" s="132"/>
      <c r="O16" s="136"/>
      <c r="P16" s="135" t="str">
        <f t="shared" si="2"/>
        <v/>
      </c>
      <c r="Q16" s="135" t="str">
        <f t="shared" si="3"/>
        <v/>
      </c>
      <c r="R16" s="137"/>
      <c r="S16" s="137" t="str">
        <f t="shared" si="4"/>
        <v/>
      </c>
      <c r="T16" s="78"/>
      <c r="U16" s="132"/>
      <c r="V16" s="127"/>
      <c r="W16" s="127"/>
      <c r="X16" s="138"/>
      <c r="Y16" s="133"/>
      <c r="Z16" s="131" t="str">
        <f t="shared" si="5"/>
        <v/>
      </c>
      <c r="AA16" s="72"/>
      <c r="AB16" s="5"/>
      <c r="AC16" s="5"/>
    </row>
    <row r="17" ht="18.0" customHeight="1">
      <c r="A17" s="75"/>
      <c r="B17" s="83"/>
      <c r="C17" s="83"/>
      <c r="D17" s="141"/>
      <c r="E17" s="132"/>
      <c r="F17" s="127"/>
      <c r="G17" s="127"/>
      <c r="H17" s="132"/>
      <c r="I17" s="133"/>
      <c r="J17" s="134"/>
      <c r="K17" s="133"/>
      <c r="L17" s="135" t="str">
        <f t="shared" si="1"/>
        <v/>
      </c>
      <c r="M17" s="127"/>
      <c r="N17" s="132"/>
      <c r="O17" s="136"/>
      <c r="P17" s="135" t="str">
        <f t="shared" si="2"/>
        <v/>
      </c>
      <c r="Q17" s="135" t="str">
        <f t="shared" si="3"/>
        <v/>
      </c>
      <c r="R17" s="137"/>
      <c r="S17" s="137" t="str">
        <f t="shared" si="4"/>
        <v/>
      </c>
      <c r="T17" s="78"/>
      <c r="U17" s="132"/>
      <c r="V17" s="127"/>
      <c r="W17" s="127"/>
      <c r="X17" s="138"/>
      <c r="Y17" s="133"/>
      <c r="Z17" s="131" t="str">
        <f t="shared" si="5"/>
        <v/>
      </c>
      <c r="AA17" s="72"/>
      <c r="AB17" s="5"/>
      <c r="AC17" s="5"/>
    </row>
    <row r="18" ht="18.0" customHeight="1">
      <c r="A18" s="75"/>
      <c r="B18" s="84" t="s">
        <v>36</v>
      </c>
      <c r="C18" s="85" t="s">
        <v>35</v>
      </c>
      <c r="D18" s="141"/>
      <c r="E18" s="132"/>
      <c r="F18" s="127"/>
      <c r="G18" s="127"/>
      <c r="H18" s="132"/>
      <c r="I18" s="133"/>
      <c r="J18" s="134"/>
      <c r="K18" s="133"/>
      <c r="L18" s="135" t="str">
        <f t="shared" si="1"/>
        <v/>
      </c>
      <c r="M18" s="127"/>
      <c r="N18" s="132"/>
      <c r="O18" s="136"/>
      <c r="P18" s="135" t="str">
        <f t="shared" si="2"/>
        <v/>
      </c>
      <c r="Q18" s="135" t="str">
        <f t="shared" si="3"/>
        <v/>
      </c>
      <c r="R18" s="137"/>
      <c r="S18" s="137" t="str">
        <f t="shared" si="4"/>
        <v/>
      </c>
      <c r="T18" s="78"/>
      <c r="U18" s="132"/>
      <c r="V18" s="127"/>
      <c r="W18" s="127"/>
      <c r="X18" s="138"/>
      <c r="Y18" s="133"/>
      <c r="Z18" s="131" t="str">
        <f t="shared" si="5"/>
        <v/>
      </c>
      <c r="AA18" s="72"/>
      <c r="AB18" s="5"/>
      <c r="AC18" s="5"/>
    </row>
    <row r="19" ht="18.0" customHeight="1">
      <c r="A19" s="75"/>
      <c r="B19" s="144">
        <f>C10+B10</f>
        <v>2925</v>
      </c>
      <c r="C19" s="145">
        <f>IF(B19=0,0,($B$19/$B$10)*-1)</f>
        <v>0.6358695652</v>
      </c>
      <c r="D19" s="141"/>
      <c r="E19" s="132"/>
      <c r="F19" s="127"/>
      <c r="G19" s="127"/>
      <c r="H19" s="132"/>
      <c r="I19" s="133"/>
      <c r="J19" s="134"/>
      <c r="K19" s="133"/>
      <c r="L19" s="135" t="str">
        <f t="shared" si="1"/>
        <v/>
      </c>
      <c r="M19" s="127"/>
      <c r="N19" s="132"/>
      <c r="O19" s="136"/>
      <c r="P19" s="135" t="str">
        <f t="shared" si="2"/>
        <v/>
      </c>
      <c r="Q19" s="135" t="str">
        <f t="shared" si="3"/>
        <v/>
      </c>
      <c r="R19" s="137"/>
      <c r="S19" s="137" t="str">
        <f t="shared" si="4"/>
        <v/>
      </c>
      <c r="T19" s="78"/>
      <c r="U19" s="132"/>
      <c r="V19" s="127"/>
      <c r="W19" s="127"/>
      <c r="X19" s="138"/>
      <c r="Y19" s="133"/>
      <c r="Z19" s="131" t="str">
        <f t="shared" si="5"/>
        <v/>
      </c>
      <c r="AA19" s="72"/>
      <c r="AB19" s="5"/>
      <c r="AC19" s="5"/>
    </row>
    <row r="20" ht="18.0" customHeight="1">
      <c r="A20" s="75"/>
      <c r="B20" s="88"/>
      <c r="C20" s="88"/>
      <c r="D20" s="141"/>
      <c r="E20" s="132"/>
      <c r="F20" s="127"/>
      <c r="G20" s="127"/>
      <c r="H20" s="132"/>
      <c r="I20" s="133"/>
      <c r="J20" s="134"/>
      <c r="K20" s="133"/>
      <c r="L20" s="135" t="str">
        <f t="shared" si="1"/>
        <v/>
      </c>
      <c r="M20" s="127"/>
      <c r="N20" s="132"/>
      <c r="O20" s="136"/>
      <c r="P20" s="135" t="str">
        <f t="shared" si="2"/>
        <v/>
      </c>
      <c r="Q20" s="135" t="str">
        <f t="shared" si="3"/>
        <v/>
      </c>
      <c r="R20" s="137"/>
      <c r="S20" s="137" t="str">
        <f t="shared" si="4"/>
        <v/>
      </c>
      <c r="T20" s="78"/>
      <c r="U20" s="132"/>
      <c r="V20" s="127"/>
      <c r="W20" s="127"/>
      <c r="X20" s="138"/>
      <c r="Y20" s="133"/>
      <c r="Z20" s="131" t="str">
        <f t="shared" si="5"/>
        <v/>
      </c>
      <c r="AA20" s="72"/>
      <c r="AB20" s="5"/>
      <c r="AC20" s="5"/>
    </row>
    <row r="21" ht="18.0" customHeight="1">
      <c r="A21" s="75"/>
      <c r="B21" s="84" t="s">
        <v>37</v>
      </c>
      <c r="C21" s="85" t="s">
        <v>35</v>
      </c>
      <c r="D21" s="141"/>
      <c r="E21" s="132"/>
      <c r="F21" s="127"/>
      <c r="G21" s="127"/>
      <c r="H21" s="132"/>
      <c r="I21" s="133"/>
      <c r="J21" s="134"/>
      <c r="K21" s="133"/>
      <c r="L21" s="135" t="str">
        <f t="shared" si="1"/>
        <v/>
      </c>
      <c r="M21" s="127"/>
      <c r="N21" s="132"/>
      <c r="O21" s="136"/>
      <c r="P21" s="135" t="str">
        <f t="shared" si="2"/>
        <v/>
      </c>
      <c r="Q21" s="135" t="str">
        <f t="shared" si="3"/>
        <v/>
      </c>
      <c r="R21" s="137"/>
      <c r="S21" s="137" t="str">
        <f t="shared" si="4"/>
        <v/>
      </c>
      <c r="T21" s="78"/>
      <c r="U21" s="132"/>
      <c r="V21" s="127"/>
      <c r="W21" s="127"/>
      <c r="X21" s="138"/>
      <c r="Y21" s="133"/>
      <c r="Z21" s="131" t="str">
        <f t="shared" si="5"/>
        <v/>
      </c>
      <c r="AA21" s="72"/>
      <c r="AB21" s="5"/>
      <c r="AC21" s="5"/>
    </row>
    <row r="22" ht="18.0" customHeight="1">
      <c r="A22" s="75"/>
      <c r="B22" s="144">
        <f>SUM(L7:L32)+SUM(P7:P32)</f>
        <v>28</v>
      </c>
      <c r="C22" s="145">
        <f>IF($B$10=0,1,($B$22/$B$10)*-1)</f>
        <v>0.006086956522</v>
      </c>
      <c r="D22" s="141"/>
      <c r="E22" s="132"/>
      <c r="F22" s="146"/>
      <c r="G22" s="127"/>
      <c r="H22" s="132"/>
      <c r="I22" s="133"/>
      <c r="J22" s="134"/>
      <c r="K22" s="133"/>
      <c r="L22" s="135" t="str">
        <f t="shared" si="1"/>
        <v/>
      </c>
      <c r="M22" s="127"/>
      <c r="N22" s="132"/>
      <c r="O22" s="136"/>
      <c r="P22" s="135" t="str">
        <f t="shared" si="2"/>
        <v/>
      </c>
      <c r="Q22" s="135" t="str">
        <f t="shared" si="3"/>
        <v/>
      </c>
      <c r="R22" s="137"/>
      <c r="S22" s="137" t="str">
        <f t="shared" si="4"/>
        <v/>
      </c>
      <c r="T22" s="78"/>
      <c r="U22" s="132"/>
      <c r="V22" s="127"/>
      <c r="W22" s="127"/>
      <c r="X22" s="138"/>
      <c r="Y22" s="133"/>
      <c r="Z22" s="131" t="str">
        <f t="shared" si="5"/>
        <v/>
      </c>
      <c r="AA22" s="72"/>
      <c r="AB22" s="5"/>
      <c r="AC22" s="5"/>
    </row>
    <row r="23" ht="18.0" customHeight="1">
      <c r="A23" s="75"/>
      <c r="B23" s="88"/>
      <c r="C23" s="88"/>
      <c r="D23" s="141"/>
      <c r="E23" s="132"/>
      <c r="F23" s="127"/>
      <c r="G23" s="127"/>
      <c r="H23" s="132"/>
      <c r="I23" s="133"/>
      <c r="J23" s="134"/>
      <c r="K23" s="133"/>
      <c r="L23" s="135" t="str">
        <f t="shared" si="1"/>
        <v/>
      </c>
      <c r="M23" s="127"/>
      <c r="N23" s="132"/>
      <c r="O23" s="136"/>
      <c r="P23" s="135" t="str">
        <f t="shared" si="2"/>
        <v/>
      </c>
      <c r="Q23" s="135" t="str">
        <f t="shared" si="3"/>
        <v/>
      </c>
      <c r="R23" s="137"/>
      <c r="S23" s="137" t="str">
        <f t="shared" si="4"/>
        <v/>
      </c>
      <c r="T23" s="78"/>
      <c r="U23" s="132"/>
      <c r="V23" s="127"/>
      <c r="W23" s="127"/>
      <c r="X23" s="138"/>
      <c r="Y23" s="133"/>
      <c r="Z23" s="131" t="str">
        <f t="shared" si="5"/>
        <v/>
      </c>
      <c r="AA23" s="72"/>
      <c r="AB23" s="5"/>
      <c r="AC23" s="5"/>
    </row>
    <row r="24" ht="18.0" customHeight="1">
      <c r="A24" s="75"/>
      <c r="B24" s="84" t="s">
        <v>38</v>
      </c>
      <c r="C24" s="92" t="s">
        <v>35</v>
      </c>
      <c r="D24" s="141"/>
      <c r="E24" s="132"/>
      <c r="F24" s="127"/>
      <c r="G24" s="127"/>
      <c r="H24" s="132"/>
      <c r="I24" s="133"/>
      <c r="J24" s="134"/>
      <c r="K24" s="133"/>
      <c r="L24" s="135" t="str">
        <f t="shared" si="1"/>
        <v/>
      </c>
      <c r="M24" s="127"/>
      <c r="N24" s="132"/>
      <c r="O24" s="136"/>
      <c r="P24" s="135" t="str">
        <f t="shared" si="2"/>
        <v/>
      </c>
      <c r="Q24" s="135" t="str">
        <f t="shared" si="3"/>
        <v/>
      </c>
      <c r="R24" s="137"/>
      <c r="S24" s="137" t="str">
        <f t="shared" si="4"/>
        <v/>
      </c>
      <c r="T24" s="78"/>
      <c r="U24" s="132"/>
      <c r="V24" s="127"/>
      <c r="W24" s="127"/>
      <c r="X24" s="138"/>
      <c r="Y24" s="133"/>
      <c r="Z24" s="131" t="str">
        <f t="shared" si="5"/>
        <v/>
      </c>
      <c r="AA24" s="72"/>
      <c r="AB24" s="5"/>
      <c r="AC24" s="5"/>
    </row>
    <row r="25" ht="18.0" customHeight="1">
      <c r="A25" s="75"/>
      <c r="B25" s="144">
        <f>IF(SUM(X7:X32)=0,0,(SUM(X7:X32)*C31)+B10)</f>
        <v>0</v>
      </c>
      <c r="C25" s="145">
        <f>IF(B25=0,0,($B$25/$B$10)*-1)</f>
        <v>0</v>
      </c>
      <c r="D25" s="141"/>
      <c r="E25" s="132"/>
      <c r="F25" s="127"/>
      <c r="G25" s="127"/>
      <c r="H25" s="132"/>
      <c r="I25" s="133"/>
      <c r="J25" s="134"/>
      <c r="K25" s="133"/>
      <c r="L25" s="135" t="str">
        <f t="shared" si="1"/>
        <v/>
      </c>
      <c r="M25" s="127"/>
      <c r="N25" s="132"/>
      <c r="O25" s="136"/>
      <c r="P25" s="135" t="str">
        <f t="shared" si="2"/>
        <v/>
      </c>
      <c r="Q25" s="135" t="str">
        <f t="shared" si="3"/>
        <v/>
      </c>
      <c r="R25" s="137"/>
      <c r="S25" s="137" t="str">
        <f t="shared" si="4"/>
        <v/>
      </c>
      <c r="T25" s="78"/>
      <c r="U25" s="147"/>
      <c r="V25" s="147"/>
      <c r="W25" s="147"/>
      <c r="X25" s="147"/>
      <c r="Y25" s="148"/>
      <c r="Z25" s="131" t="str">
        <f t="shared" si="5"/>
        <v/>
      </c>
      <c r="AA25" s="72"/>
      <c r="AB25" s="5"/>
      <c r="AC25" s="5"/>
    </row>
    <row r="26" ht="18.0" customHeight="1">
      <c r="A26" s="75"/>
      <c r="B26" s="88"/>
      <c r="C26" s="88"/>
      <c r="D26" s="141"/>
      <c r="E26" s="132"/>
      <c r="F26" s="127"/>
      <c r="G26" s="127"/>
      <c r="H26" s="132"/>
      <c r="I26" s="133"/>
      <c r="J26" s="134"/>
      <c r="K26" s="133"/>
      <c r="L26" s="135" t="str">
        <f t="shared" si="1"/>
        <v/>
      </c>
      <c r="M26" s="127"/>
      <c r="N26" s="132"/>
      <c r="O26" s="136"/>
      <c r="P26" s="135" t="str">
        <f t="shared" si="2"/>
        <v/>
      </c>
      <c r="Q26" s="135" t="str">
        <f t="shared" si="3"/>
        <v/>
      </c>
      <c r="R26" s="137"/>
      <c r="S26" s="137" t="str">
        <f t="shared" si="4"/>
        <v/>
      </c>
      <c r="T26" s="78"/>
      <c r="U26" s="147"/>
      <c r="V26" s="147"/>
      <c r="W26" s="147"/>
      <c r="X26" s="147"/>
      <c r="Y26" s="148"/>
      <c r="Z26" s="131" t="str">
        <f t="shared" si="5"/>
        <v/>
      </c>
      <c r="AA26" s="72"/>
      <c r="AB26" s="5"/>
      <c r="AC26" s="5"/>
    </row>
    <row r="27" ht="18.0" customHeight="1">
      <c r="A27" s="75"/>
      <c r="B27" s="84" t="s">
        <v>39</v>
      </c>
      <c r="C27" s="92" t="s">
        <v>35</v>
      </c>
      <c r="D27" s="141"/>
      <c r="E27" s="132"/>
      <c r="F27" s="127"/>
      <c r="G27" s="127"/>
      <c r="H27" s="132"/>
      <c r="I27" s="133"/>
      <c r="J27" s="134"/>
      <c r="K27" s="133"/>
      <c r="L27" s="135" t="str">
        <f t="shared" si="1"/>
        <v/>
      </c>
      <c r="M27" s="127"/>
      <c r="N27" s="132"/>
      <c r="O27" s="136"/>
      <c r="P27" s="135" t="str">
        <f t="shared" si="2"/>
        <v/>
      </c>
      <c r="Q27" s="135" t="str">
        <f t="shared" si="3"/>
        <v/>
      </c>
      <c r="R27" s="137"/>
      <c r="S27" s="137" t="str">
        <f t="shared" si="4"/>
        <v/>
      </c>
      <c r="T27" s="78"/>
      <c r="U27" s="147"/>
      <c r="V27" s="147"/>
      <c r="W27" s="147"/>
      <c r="X27" s="147"/>
      <c r="Y27" s="148"/>
      <c r="Z27" s="131" t="str">
        <f t="shared" si="5"/>
        <v/>
      </c>
      <c r="AA27" s="95"/>
      <c r="AB27" s="5"/>
      <c r="AC27" s="5"/>
    </row>
    <row r="28" ht="18.0" customHeight="1">
      <c r="A28" s="75"/>
      <c r="B28" s="144">
        <f>SUM(B22,B25)</f>
        <v>28</v>
      </c>
      <c r="C28" s="145">
        <f>IF(B10=0,1,($B$25/$B$10)*-1)</f>
        <v>0</v>
      </c>
      <c r="D28" s="141"/>
      <c r="E28" s="132"/>
      <c r="F28" s="127"/>
      <c r="G28" s="127"/>
      <c r="H28" s="132"/>
      <c r="I28" s="133"/>
      <c r="J28" s="134"/>
      <c r="K28" s="133"/>
      <c r="L28" s="135" t="str">
        <f t="shared" si="1"/>
        <v/>
      </c>
      <c r="M28" s="127"/>
      <c r="N28" s="132"/>
      <c r="O28" s="136"/>
      <c r="P28" s="135" t="str">
        <f t="shared" si="2"/>
        <v/>
      </c>
      <c r="Q28" s="135" t="str">
        <f t="shared" si="3"/>
        <v/>
      </c>
      <c r="R28" s="137"/>
      <c r="S28" s="137" t="str">
        <f t="shared" si="4"/>
        <v/>
      </c>
      <c r="T28" s="78"/>
      <c r="U28" s="147"/>
      <c r="V28" s="147"/>
      <c r="W28" s="147"/>
      <c r="X28" s="147"/>
      <c r="Y28" s="148"/>
      <c r="Z28" s="131" t="str">
        <f t="shared" si="5"/>
        <v/>
      </c>
      <c r="AA28" s="95"/>
      <c r="AB28" s="5"/>
      <c r="AC28" s="5"/>
    </row>
    <row r="29" ht="18.0" customHeight="1">
      <c r="A29" s="75"/>
      <c r="B29" s="88"/>
      <c r="C29" s="88"/>
      <c r="D29" s="141"/>
      <c r="E29" s="132"/>
      <c r="F29" s="127"/>
      <c r="G29" s="127"/>
      <c r="H29" s="132"/>
      <c r="I29" s="133"/>
      <c r="J29" s="134"/>
      <c r="K29" s="133"/>
      <c r="L29" s="135" t="str">
        <f t="shared" si="1"/>
        <v/>
      </c>
      <c r="M29" s="127"/>
      <c r="N29" s="132"/>
      <c r="O29" s="136"/>
      <c r="P29" s="135" t="str">
        <f t="shared" si="2"/>
        <v/>
      </c>
      <c r="Q29" s="135" t="str">
        <f t="shared" si="3"/>
        <v/>
      </c>
      <c r="R29" s="137"/>
      <c r="S29" s="137" t="str">
        <f t="shared" si="4"/>
        <v/>
      </c>
      <c r="T29" s="78"/>
      <c r="U29" s="147"/>
      <c r="V29" s="147"/>
      <c r="W29" s="147"/>
      <c r="X29" s="147"/>
      <c r="Y29" s="148"/>
      <c r="Z29" s="131" t="str">
        <f t="shared" si="5"/>
        <v/>
      </c>
      <c r="AA29" s="95"/>
      <c r="AB29" s="5"/>
      <c r="AC29" s="5"/>
    </row>
    <row r="30" ht="18.0" customHeight="1">
      <c r="A30" s="75"/>
      <c r="B30" s="96" t="s">
        <v>40</v>
      </c>
      <c r="C30" s="51" t="s">
        <v>41</v>
      </c>
      <c r="D30" s="141"/>
      <c r="E30" s="132"/>
      <c r="F30" s="127"/>
      <c r="G30" s="127"/>
      <c r="H30" s="132"/>
      <c r="I30" s="133"/>
      <c r="J30" s="134"/>
      <c r="K30" s="133"/>
      <c r="L30" s="135" t="str">
        <f t="shared" si="1"/>
        <v/>
      </c>
      <c r="M30" s="127"/>
      <c r="N30" s="132"/>
      <c r="O30" s="136"/>
      <c r="P30" s="135" t="str">
        <f t="shared" si="2"/>
        <v/>
      </c>
      <c r="Q30" s="135" t="str">
        <f t="shared" si="3"/>
        <v/>
      </c>
      <c r="R30" s="137"/>
      <c r="S30" s="137" t="str">
        <f t="shared" si="4"/>
        <v/>
      </c>
      <c r="T30" s="78"/>
      <c r="U30" s="147"/>
      <c r="V30" s="147"/>
      <c r="W30" s="147"/>
      <c r="X30" s="147"/>
      <c r="Y30" s="148"/>
      <c r="Z30" s="131" t="str">
        <f t="shared" si="5"/>
        <v/>
      </c>
      <c r="AA30" s="72"/>
      <c r="AB30" s="5"/>
      <c r="AC30" s="5"/>
    </row>
    <row r="31" ht="18.0" customHeight="1">
      <c r="A31" s="75"/>
      <c r="B31" s="137">
        <f t="array" ref="B31">LOOKUP(2,1/(J:J&lt;&gt;""),J:J)</f>
        <v>1</v>
      </c>
      <c r="C31" s="149">
        <f t="array" ref="C31">LOOKUP(2,1/(I:I&lt;&gt;""),I:I)</f>
        <v>46</v>
      </c>
      <c r="D31" s="141"/>
      <c r="E31" s="132"/>
      <c r="F31" s="127"/>
      <c r="G31" s="127"/>
      <c r="H31" s="132"/>
      <c r="I31" s="133"/>
      <c r="J31" s="134"/>
      <c r="K31" s="133"/>
      <c r="L31" s="135" t="str">
        <f t="shared" si="1"/>
        <v/>
      </c>
      <c r="M31" s="127"/>
      <c r="N31" s="132"/>
      <c r="O31" s="136"/>
      <c r="P31" s="135" t="str">
        <f t="shared" si="2"/>
        <v/>
      </c>
      <c r="Q31" s="135" t="str">
        <f t="shared" si="3"/>
        <v/>
      </c>
      <c r="R31" s="137"/>
      <c r="S31" s="137" t="str">
        <f t="shared" si="4"/>
        <v/>
      </c>
      <c r="T31" s="78"/>
      <c r="U31" s="147"/>
      <c r="V31" s="147"/>
      <c r="W31" s="147"/>
      <c r="X31" s="147"/>
      <c r="Y31" s="148"/>
      <c r="Z31" s="131" t="str">
        <f t="shared" si="5"/>
        <v/>
      </c>
      <c r="AA31" s="72"/>
      <c r="AB31" s="5"/>
      <c r="AC31" s="5"/>
    </row>
    <row r="32" ht="18.0" customHeight="1">
      <c r="A32" s="99"/>
      <c r="B32" s="100"/>
      <c r="C32" s="100"/>
      <c r="D32" s="150"/>
      <c r="E32" s="132"/>
      <c r="F32" s="127"/>
      <c r="G32" s="127"/>
      <c r="H32" s="132"/>
      <c r="I32" s="133"/>
      <c r="J32" s="134"/>
      <c r="K32" s="133"/>
      <c r="L32" s="135" t="str">
        <f t="shared" si="1"/>
        <v/>
      </c>
      <c r="M32" s="127"/>
      <c r="N32" s="132"/>
      <c r="O32" s="136"/>
      <c r="P32" s="135" t="str">
        <f t="shared" si="2"/>
        <v/>
      </c>
      <c r="Q32" s="135" t="str">
        <f t="shared" si="3"/>
        <v/>
      </c>
      <c r="R32" s="137"/>
      <c r="S32" s="137" t="str">
        <f t="shared" si="4"/>
        <v/>
      </c>
      <c r="T32" s="78"/>
      <c r="U32" s="147"/>
      <c r="V32" s="147"/>
      <c r="W32" s="147"/>
      <c r="X32" s="147"/>
      <c r="Y32" s="148"/>
      <c r="Z32" s="131"/>
      <c r="AA32" s="72"/>
      <c r="AB32" s="5"/>
      <c r="AC32" s="5"/>
    </row>
    <row r="33" ht="18.0" customHeight="1">
      <c r="A33" s="102"/>
      <c r="B33" s="103"/>
      <c r="C33" s="103"/>
      <c r="D33" s="103"/>
      <c r="E33" s="151"/>
      <c r="F33" s="152"/>
      <c r="G33" s="152"/>
      <c r="H33" s="151"/>
      <c r="I33" s="152"/>
      <c r="J33" s="152"/>
      <c r="K33" s="152"/>
      <c r="L33" s="153"/>
      <c r="M33" s="153"/>
      <c r="N33" s="153"/>
      <c r="O33" s="153"/>
      <c r="P33" s="153"/>
      <c r="Q33" s="153"/>
      <c r="R33" s="153"/>
      <c r="S33" s="153"/>
      <c r="T33" s="103"/>
      <c r="U33" s="107"/>
      <c r="V33" s="107"/>
      <c r="W33" s="107"/>
      <c r="X33" s="107"/>
      <c r="Y33" s="107"/>
      <c r="Z33" s="107"/>
      <c r="AA33" s="108"/>
      <c r="AB33" s="5"/>
      <c r="AC33" s="5"/>
    </row>
    <row r="34" ht="18.0" customHeight="1">
      <c r="A34" s="109"/>
      <c r="B34" s="110"/>
      <c r="C34" s="111"/>
      <c r="D34" s="112"/>
      <c r="E34" s="113"/>
      <c r="F34" s="114"/>
      <c r="G34" s="114"/>
      <c r="H34" s="113"/>
      <c r="I34" s="114"/>
      <c r="J34" s="114"/>
      <c r="K34" s="114"/>
      <c r="L34" s="110"/>
      <c r="M34" s="110"/>
      <c r="N34" s="110"/>
      <c r="O34" s="110"/>
      <c r="P34" s="110"/>
      <c r="Q34" s="110"/>
      <c r="R34" s="110"/>
      <c r="S34" s="110"/>
      <c r="T34" s="112"/>
      <c r="U34" s="5"/>
      <c r="V34" s="5"/>
      <c r="W34" s="5"/>
      <c r="X34" s="5"/>
      <c r="Y34" s="5"/>
      <c r="Z34" s="5"/>
      <c r="AA34" s="112"/>
      <c r="AB34" s="5"/>
      <c r="AC34" s="5"/>
    </row>
    <row r="35" ht="18.0" customHeight="1">
      <c r="A35" s="109"/>
      <c r="B35" s="110"/>
      <c r="C35" s="111"/>
      <c r="D35" s="112"/>
      <c r="E35" s="113"/>
      <c r="F35" s="115"/>
      <c r="G35" s="115"/>
      <c r="H35" s="113"/>
      <c r="I35" s="115"/>
      <c r="J35" s="115"/>
      <c r="K35" s="115"/>
      <c r="L35" s="110"/>
      <c r="M35" s="110"/>
      <c r="N35" s="110"/>
      <c r="O35" s="110"/>
      <c r="P35" s="110"/>
      <c r="Q35" s="110"/>
      <c r="R35" s="110"/>
      <c r="S35" s="110"/>
      <c r="T35" s="112"/>
      <c r="U35" s="5"/>
      <c r="V35" s="5"/>
      <c r="W35" s="5"/>
      <c r="X35" s="5"/>
      <c r="Y35" s="5"/>
      <c r="Z35" s="5"/>
      <c r="AA35" s="112"/>
      <c r="AB35" s="5"/>
      <c r="AC35" s="5"/>
    </row>
    <row r="36" ht="18.0" customHeight="1">
      <c r="A36" s="109"/>
      <c r="B36" s="110"/>
      <c r="C36" s="111"/>
      <c r="D36" s="112"/>
      <c r="E36" s="113"/>
      <c r="F36" s="114"/>
      <c r="G36" s="114"/>
      <c r="H36" s="113"/>
      <c r="I36" s="114"/>
      <c r="J36" s="114"/>
      <c r="K36" s="114"/>
      <c r="L36" s="110"/>
      <c r="M36" s="110"/>
      <c r="N36" s="110"/>
      <c r="O36" s="110"/>
      <c r="P36" s="110"/>
      <c r="Q36" s="110"/>
      <c r="R36" s="110"/>
      <c r="S36" s="110"/>
      <c r="T36" s="112"/>
      <c r="U36" s="5"/>
      <c r="V36" s="5"/>
      <c r="W36" s="5"/>
      <c r="X36" s="5"/>
      <c r="Y36" s="5"/>
      <c r="Z36" s="5"/>
      <c r="AA36" s="112"/>
      <c r="AB36" s="5"/>
      <c r="AC36" s="5"/>
    </row>
    <row r="37" ht="18.0" customHeight="1">
      <c r="A37" s="109"/>
      <c r="B37" s="110"/>
      <c r="C37" s="111"/>
      <c r="D37" s="112"/>
      <c r="E37" s="113"/>
      <c r="F37" s="114"/>
      <c r="G37" s="114"/>
      <c r="H37" s="113"/>
      <c r="I37" s="114"/>
      <c r="J37" s="114"/>
      <c r="K37" s="114"/>
      <c r="L37" s="110"/>
      <c r="M37" s="110"/>
      <c r="N37" s="110"/>
      <c r="O37" s="110"/>
      <c r="P37" s="110"/>
      <c r="Q37" s="110"/>
      <c r="R37" s="110"/>
      <c r="S37" s="110"/>
      <c r="T37" s="112"/>
      <c r="U37" s="5"/>
      <c r="V37" s="5"/>
      <c r="W37" s="5"/>
      <c r="X37" s="5"/>
      <c r="Y37" s="5"/>
      <c r="Z37" s="5"/>
      <c r="AA37" s="112"/>
      <c r="AB37" s="5"/>
      <c r="AC37" s="5"/>
    </row>
    <row r="38" ht="18.0" customHeight="1">
      <c r="A38" s="109"/>
      <c r="B38" s="110"/>
      <c r="C38" s="111"/>
      <c r="D38" s="112"/>
      <c r="E38" s="113"/>
      <c r="F38" s="114"/>
      <c r="G38" s="114"/>
      <c r="H38" s="113"/>
      <c r="I38" s="114"/>
      <c r="J38" s="114"/>
      <c r="K38" s="114"/>
      <c r="L38" s="110"/>
      <c r="M38" s="110"/>
      <c r="N38" s="110"/>
      <c r="O38" s="110"/>
      <c r="P38" s="110"/>
      <c r="Q38" s="110"/>
      <c r="R38" s="110"/>
      <c r="S38" s="110"/>
      <c r="T38" s="112"/>
      <c r="U38" s="5"/>
      <c r="V38" s="5"/>
      <c r="W38" s="5"/>
      <c r="X38" s="5"/>
      <c r="Y38" s="5"/>
      <c r="Z38" s="5"/>
      <c r="AA38" s="112"/>
      <c r="AB38" s="5"/>
      <c r="AC38" s="5"/>
    </row>
    <row r="39" ht="18.0" customHeight="1">
      <c r="A39" s="109"/>
      <c r="B39" s="110"/>
      <c r="C39" s="111"/>
      <c r="D39" s="112"/>
      <c r="E39" s="113"/>
      <c r="F39" s="114"/>
      <c r="G39" s="114"/>
      <c r="H39" s="113"/>
      <c r="I39" s="114"/>
      <c r="J39" s="114"/>
      <c r="K39" s="114"/>
      <c r="L39" s="110"/>
      <c r="M39" s="110"/>
      <c r="N39" s="110"/>
      <c r="O39" s="110"/>
      <c r="P39" s="110"/>
      <c r="Q39" s="110"/>
      <c r="R39" s="110"/>
      <c r="S39" s="110"/>
      <c r="T39" s="112"/>
      <c r="U39" s="5"/>
      <c r="V39" s="5"/>
      <c r="W39" s="5"/>
      <c r="X39" s="5"/>
      <c r="Y39" s="5"/>
      <c r="Z39" s="5"/>
      <c r="AA39" s="112"/>
      <c r="AB39" s="5"/>
      <c r="AC39" s="5"/>
    </row>
    <row r="40" ht="18.0" customHeight="1">
      <c r="A40" s="109"/>
      <c r="B40" s="110"/>
      <c r="C40" s="111"/>
      <c r="D40" s="112"/>
      <c r="E40" s="113"/>
      <c r="F40" s="114"/>
      <c r="G40" s="114"/>
      <c r="H40" s="113"/>
      <c r="I40" s="114"/>
      <c r="J40" s="114"/>
      <c r="K40" s="114"/>
      <c r="L40" s="110"/>
      <c r="M40" s="110"/>
      <c r="N40" s="110"/>
      <c r="O40" s="110"/>
      <c r="P40" s="110"/>
      <c r="Q40" s="110"/>
      <c r="R40" s="110"/>
      <c r="S40" s="110"/>
      <c r="T40" s="112"/>
      <c r="U40" s="5"/>
      <c r="V40" s="5"/>
      <c r="W40" s="5"/>
      <c r="X40" s="5"/>
      <c r="Y40" s="5"/>
      <c r="Z40" s="5"/>
      <c r="AA40" s="112"/>
      <c r="AB40" s="5"/>
      <c r="AC40" s="5"/>
    </row>
    <row r="41" ht="18.0" customHeight="1">
      <c r="A41" s="109"/>
      <c r="B41" s="110"/>
      <c r="C41" s="111"/>
      <c r="D41" s="112"/>
      <c r="E41" s="113"/>
      <c r="F41" s="114"/>
      <c r="G41" s="114"/>
      <c r="H41" s="113"/>
      <c r="I41" s="114"/>
      <c r="J41" s="114"/>
      <c r="K41" s="114"/>
      <c r="L41" s="110"/>
      <c r="M41" s="110"/>
      <c r="N41" s="110"/>
      <c r="O41" s="110"/>
      <c r="P41" s="110"/>
      <c r="Q41" s="110"/>
      <c r="R41" s="110"/>
      <c r="S41" s="110"/>
      <c r="T41" s="112"/>
      <c r="U41" s="5"/>
      <c r="V41" s="5"/>
      <c r="W41" s="5"/>
      <c r="X41" s="5"/>
      <c r="Y41" s="5"/>
      <c r="Z41" s="5"/>
      <c r="AA41" s="112"/>
      <c r="AB41" s="5"/>
      <c r="AC41" s="5"/>
    </row>
    <row r="42" ht="18.0" customHeight="1">
      <c r="A42" s="109"/>
      <c r="B42" s="110"/>
      <c r="C42" s="111"/>
      <c r="D42" s="112"/>
      <c r="E42" s="113"/>
      <c r="F42" s="114"/>
      <c r="G42" s="114"/>
      <c r="H42" s="113"/>
      <c r="I42" s="114"/>
      <c r="J42" s="114"/>
      <c r="K42" s="114"/>
      <c r="L42" s="110"/>
      <c r="M42" s="110"/>
      <c r="N42" s="110"/>
      <c r="O42" s="110"/>
      <c r="P42" s="110"/>
      <c r="Q42" s="110"/>
      <c r="R42" s="110"/>
      <c r="S42" s="110"/>
      <c r="T42" s="112"/>
      <c r="U42" s="5"/>
      <c r="V42" s="5"/>
      <c r="W42" s="5"/>
      <c r="X42" s="5"/>
      <c r="Y42" s="5"/>
      <c r="Z42" s="5"/>
      <c r="AA42" s="112"/>
      <c r="AB42" s="5"/>
      <c r="AC42" s="5"/>
    </row>
    <row r="43" ht="18.0" customHeight="1">
      <c r="A43" s="109"/>
      <c r="B43" s="110"/>
      <c r="C43" s="111"/>
      <c r="D43" s="112"/>
      <c r="E43" s="113"/>
      <c r="F43" s="114"/>
      <c r="G43" s="114"/>
      <c r="H43" s="113"/>
      <c r="I43" s="114"/>
      <c r="J43" s="114"/>
      <c r="K43" s="114"/>
      <c r="L43" s="110"/>
      <c r="M43" s="110"/>
      <c r="N43" s="110"/>
      <c r="O43" s="110"/>
      <c r="P43" s="110"/>
      <c r="Q43" s="110"/>
      <c r="R43" s="110"/>
      <c r="S43" s="110"/>
      <c r="T43" s="112"/>
      <c r="U43" s="5"/>
      <c r="V43" s="5"/>
      <c r="W43" s="5"/>
      <c r="X43" s="5"/>
      <c r="Y43" s="5"/>
      <c r="Z43" s="5"/>
      <c r="AA43" s="112"/>
      <c r="AB43" s="5"/>
      <c r="AC43" s="5"/>
    </row>
    <row r="44" ht="18.0" customHeight="1">
      <c r="A44" s="109"/>
      <c r="B44" s="110"/>
      <c r="C44" s="111"/>
      <c r="D44" s="112"/>
      <c r="E44" s="113"/>
      <c r="F44" s="114"/>
      <c r="G44" s="114"/>
      <c r="H44" s="113"/>
      <c r="I44" s="114"/>
      <c r="J44" s="114"/>
      <c r="K44" s="114"/>
      <c r="L44" s="110"/>
      <c r="M44" s="110"/>
      <c r="N44" s="110"/>
      <c r="O44" s="110"/>
      <c r="P44" s="110"/>
      <c r="Q44" s="110"/>
      <c r="R44" s="110"/>
      <c r="S44" s="110"/>
      <c r="T44" s="112"/>
      <c r="U44" s="5"/>
      <c r="V44" s="5"/>
      <c r="W44" s="5"/>
      <c r="X44" s="5"/>
      <c r="Y44" s="5"/>
      <c r="Z44" s="5"/>
      <c r="AA44" s="112"/>
      <c r="AB44" s="5"/>
      <c r="AC44" s="5"/>
    </row>
    <row r="45" ht="18.0" customHeight="1">
      <c r="A45" s="109"/>
      <c r="B45" s="110"/>
      <c r="C45" s="111"/>
      <c r="D45" s="112"/>
      <c r="E45" s="113"/>
      <c r="F45" s="114"/>
      <c r="G45" s="114"/>
      <c r="H45" s="113"/>
      <c r="I45" s="114"/>
      <c r="J45" s="114"/>
      <c r="K45" s="114"/>
      <c r="L45" s="110"/>
      <c r="M45" s="110"/>
      <c r="N45" s="110"/>
      <c r="O45" s="110"/>
      <c r="P45" s="110"/>
      <c r="Q45" s="110"/>
      <c r="R45" s="110"/>
      <c r="S45" s="110"/>
      <c r="T45" s="112"/>
      <c r="U45" s="5"/>
      <c r="V45" s="5"/>
      <c r="W45" s="5"/>
      <c r="X45" s="5"/>
      <c r="Y45" s="5"/>
      <c r="Z45" s="5"/>
      <c r="AA45" s="112"/>
      <c r="AB45" s="5"/>
      <c r="AC45" s="5"/>
    </row>
    <row r="46" ht="18.0" customHeight="1">
      <c r="A46" s="109"/>
      <c r="B46" s="110"/>
      <c r="C46" s="111"/>
      <c r="D46" s="112"/>
      <c r="E46" s="113"/>
      <c r="F46" s="114"/>
      <c r="G46" s="114"/>
      <c r="H46" s="113"/>
      <c r="I46" s="114"/>
      <c r="J46" s="114"/>
      <c r="K46" s="114"/>
      <c r="L46" s="110"/>
      <c r="M46" s="110"/>
      <c r="N46" s="110"/>
      <c r="O46" s="110"/>
      <c r="P46" s="110"/>
      <c r="Q46" s="110"/>
      <c r="R46" s="110"/>
      <c r="S46" s="110"/>
      <c r="T46" s="112"/>
      <c r="U46" s="5"/>
      <c r="V46" s="5"/>
      <c r="W46" s="5"/>
      <c r="X46" s="5"/>
      <c r="Y46" s="5"/>
      <c r="Z46" s="5"/>
      <c r="AA46" s="112"/>
      <c r="AB46" s="5"/>
      <c r="AC46" s="5"/>
    </row>
    <row r="47" ht="18.0" customHeight="1">
      <c r="A47" s="109"/>
      <c r="B47" s="110"/>
      <c r="C47" s="111"/>
      <c r="D47" s="112"/>
      <c r="E47" s="113"/>
      <c r="F47" s="114"/>
      <c r="G47" s="114"/>
      <c r="H47" s="113"/>
      <c r="I47" s="114"/>
      <c r="J47" s="114"/>
      <c r="K47" s="114"/>
      <c r="L47" s="110"/>
      <c r="M47" s="110"/>
      <c r="N47" s="110"/>
      <c r="O47" s="110"/>
      <c r="P47" s="110"/>
      <c r="Q47" s="110"/>
      <c r="R47" s="110"/>
      <c r="S47" s="110"/>
      <c r="T47" s="112"/>
      <c r="U47" s="5"/>
      <c r="V47" s="5"/>
      <c r="W47" s="5"/>
      <c r="X47" s="5"/>
      <c r="Y47" s="5"/>
      <c r="Z47" s="5"/>
      <c r="AA47" s="112"/>
      <c r="AB47" s="5"/>
      <c r="AC47" s="5"/>
    </row>
    <row r="48" ht="18.0" customHeight="1">
      <c r="A48" s="109"/>
      <c r="B48" s="110"/>
      <c r="C48" s="111"/>
      <c r="D48" s="112"/>
      <c r="E48" s="113"/>
      <c r="F48" s="114"/>
      <c r="G48" s="114"/>
      <c r="H48" s="113"/>
      <c r="I48" s="114"/>
      <c r="J48" s="114"/>
      <c r="K48" s="114"/>
      <c r="L48" s="110"/>
      <c r="M48" s="110"/>
      <c r="N48" s="110"/>
      <c r="O48" s="110"/>
      <c r="P48" s="110"/>
      <c r="Q48" s="110"/>
      <c r="R48" s="110"/>
      <c r="S48" s="110"/>
      <c r="T48" s="112"/>
      <c r="U48" s="5"/>
      <c r="V48" s="5"/>
      <c r="W48" s="5"/>
      <c r="X48" s="5"/>
      <c r="Y48" s="5"/>
      <c r="Z48" s="5"/>
      <c r="AA48" s="112"/>
      <c r="AB48" s="5"/>
      <c r="AC48" s="5"/>
    </row>
    <row r="49" ht="18.0" customHeight="1">
      <c r="A49" s="109"/>
      <c r="B49" s="110"/>
      <c r="C49" s="111"/>
      <c r="D49" s="112"/>
      <c r="E49" s="113"/>
      <c r="F49" s="114"/>
      <c r="G49" s="114"/>
      <c r="H49" s="113"/>
      <c r="I49" s="114"/>
      <c r="J49" s="114"/>
      <c r="K49" s="114"/>
      <c r="L49" s="110"/>
      <c r="M49" s="110"/>
      <c r="N49" s="110"/>
      <c r="O49" s="110"/>
      <c r="P49" s="110"/>
      <c r="Q49" s="110"/>
      <c r="R49" s="110"/>
      <c r="S49" s="110"/>
      <c r="T49" s="112"/>
      <c r="U49" s="5"/>
      <c r="V49" s="5"/>
      <c r="W49" s="5"/>
      <c r="X49" s="5"/>
      <c r="Y49" s="5"/>
      <c r="Z49" s="5"/>
      <c r="AA49" s="112"/>
      <c r="AB49" s="5"/>
      <c r="AC49" s="5"/>
    </row>
    <row r="50" ht="18.0" customHeight="1">
      <c r="A50" s="109"/>
      <c r="B50" s="110"/>
      <c r="C50" s="111"/>
      <c r="D50" s="112"/>
      <c r="E50" s="113"/>
      <c r="F50" s="114"/>
      <c r="G50" s="114"/>
      <c r="H50" s="113"/>
      <c r="I50" s="114"/>
      <c r="J50" s="114"/>
      <c r="K50" s="114"/>
      <c r="L50" s="110"/>
      <c r="M50" s="110"/>
      <c r="N50" s="110"/>
      <c r="O50" s="110"/>
      <c r="P50" s="110"/>
      <c r="Q50" s="110"/>
      <c r="R50" s="110"/>
      <c r="S50" s="110"/>
      <c r="T50" s="112"/>
      <c r="U50" s="5"/>
      <c r="V50" s="5"/>
      <c r="W50" s="5"/>
      <c r="X50" s="5"/>
      <c r="Y50" s="5"/>
      <c r="Z50" s="5"/>
      <c r="AA50" s="112"/>
      <c r="AB50" s="5"/>
      <c r="AC50" s="5"/>
    </row>
    <row r="51" ht="18.0" customHeight="1">
      <c r="A51" s="109"/>
      <c r="B51" s="110"/>
      <c r="C51" s="111"/>
      <c r="D51" s="112"/>
      <c r="E51" s="113"/>
      <c r="F51" s="114"/>
      <c r="G51" s="114"/>
      <c r="H51" s="113"/>
      <c r="I51" s="114"/>
      <c r="J51" s="114"/>
      <c r="K51" s="114"/>
      <c r="L51" s="110"/>
      <c r="M51" s="110"/>
      <c r="N51" s="110"/>
      <c r="O51" s="110"/>
      <c r="P51" s="110"/>
      <c r="Q51" s="110"/>
      <c r="R51" s="110"/>
      <c r="S51" s="110"/>
      <c r="T51" s="112"/>
      <c r="U51" s="5"/>
      <c r="V51" s="5"/>
      <c r="W51" s="5"/>
      <c r="X51" s="5"/>
      <c r="Y51" s="5"/>
      <c r="Z51" s="5"/>
      <c r="AA51" s="112"/>
      <c r="AB51" s="5"/>
      <c r="AC51" s="5"/>
    </row>
    <row r="52" ht="18.0" customHeight="1">
      <c r="A52" s="109"/>
      <c r="B52" s="110"/>
      <c r="C52" s="111"/>
      <c r="D52" s="112"/>
      <c r="E52" s="113"/>
      <c r="F52" s="114"/>
      <c r="G52" s="114"/>
      <c r="H52" s="113"/>
      <c r="I52" s="114"/>
      <c r="J52" s="114"/>
      <c r="K52" s="114"/>
      <c r="L52" s="110"/>
      <c r="M52" s="110"/>
      <c r="N52" s="110"/>
      <c r="O52" s="110"/>
      <c r="P52" s="110"/>
      <c r="Q52" s="110"/>
      <c r="R52" s="110"/>
      <c r="S52" s="110"/>
      <c r="T52" s="112"/>
      <c r="U52" s="5"/>
      <c r="V52" s="5"/>
      <c r="W52" s="5"/>
      <c r="X52" s="5"/>
      <c r="Y52" s="5"/>
      <c r="Z52" s="5"/>
      <c r="AA52" s="112"/>
      <c r="AB52" s="5"/>
      <c r="AC52" s="5"/>
    </row>
    <row r="53" ht="18.0" customHeight="1">
      <c r="A53" s="109"/>
      <c r="B53" s="110"/>
      <c r="C53" s="111"/>
      <c r="D53" s="112"/>
      <c r="E53" s="113"/>
      <c r="F53" s="114"/>
      <c r="G53" s="114"/>
      <c r="H53" s="113"/>
      <c r="I53" s="114"/>
      <c r="J53" s="114"/>
      <c r="K53" s="114"/>
      <c r="L53" s="110"/>
      <c r="M53" s="110"/>
      <c r="N53" s="110"/>
      <c r="O53" s="110"/>
      <c r="P53" s="110"/>
      <c r="Q53" s="110"/>
      <c r="R53" s="110"/>
      <c r="S53" s="110"/>
      <c r="T53" s="112"/>
      <c r="U53" s="5"/>
      <c r="V53" s="5"/>
      <c r="W53" s="5"/>
      <c r="X53" s="5"/>
      <c r="Y53" s="5"/>
      <c r="Z53" s="5"/>
      <c r="AA53" s="112"/>
      <c r="AB53" s="5"/>
      <c r="AC53" s="5"/>
    </row>
    <row r="54" ht="18.0" customHeight="1">
      <c r="A54" s="109"/>
      <c r="B54" s="110"/>
      <c r="C54" s="111"/>
      <c r="D54" s="112"/>
      <c r="E54" s="113"/>
      <c r="F54" s="114"/>
      <c r="G54" s="114"/>
      <c r="H54" s="113"/>
      <c r="I54" s="114"/>
      <c r="J54" s="114"/>
      <c r="K54" s="114"/>
      <c r="L54" s="110"/>
      <c r="M54" s="110"/>
      <c r="N54" s="110"/>
      <c r="O54" s="110"/>
      <c r="P54" s="110"/>
      <c r="Q54" s="110"/>
      <c r="R54" s="110"/>
      <c r="S54" s="110"/>
      <c r="T54" s="112"/>
      <c r="U54" s="5"/>
      <c r="V54" s="5"/>
      <c r="W54" s="5"/>
      <c r="X54" s="5"/>
      <c r="Y54" s="5"/>
      <c r="Z54" s="5"/>
      <c r="AA54" s="112"/>
      <c r="AB54" s="5"/>
      <c r="AC54" s="5"/>
    </row>
    <row r="55" ht="18.0" customHeight="1">
      <c r="A55" s="109"/>
      <c r="B55" s="110"/>
      <c r="C55" s="111"/>
      <c r="D55" s="112"/>
      <c r="E55" s="113"/>
      <c r="F55" s="114"/>
      <c r="G55" s="114"/>
      <c r="H55" s="113"/>
      <c r="I55" s="114"/>
      <c r="J55" s="114"/>
      <c r="K55" s="114"/>
      <c r="L55" s="110"/>
      <c r="M55" s="110"/>
      <c r="N55" s="110"/>
      <c r="O55" s="110"/>
      <c r="P55" s="110"/>
      <c r="Q55" s="110"/>
      <c r="R55" s="110"/>
      <c r="S55" s="110"/>
      <c r="T55" s="112"/>
      <c r="U55" s="5"/>
      <c r="V55" s="5"/>
      <c r="W55" s="5"/>
      <c r="X55" s="5"/>
      <c r="Y55" s="5"/>
      <c r="Z55" s="5"/>
      <c r="AA55" s="112"/>
      <c r="AB55" s="5"/>
      <c r="AC55" s="5"/>
    </row>
    <row r="56" ht="18.0" customHeight="1">
      <c r="A56" s="109"/>
      <c r="B56" s="110"/>
      <c r="C56" s="111"/>
      <c r="D56" s="112"/>
      <c r="E56" s="113"/>
      <c r="F56" s="114"/>
      <c r="G56" s="114"/>
      <c r="H56" s="113"/>
      <c r="I56" s="114"/>
      <c r="J56" s="114"/>
      <c r="K56" s="114"/>
      <c r="L56" s="110"/>
      <c r="M56" s="110"/>
      <c r="N56" s="110"/>
      <c r="O56" s="110"/>
      <c r="P56" s="110"/>
      <c r="Q56" s="110"/>
      <c r="R56" s="110"/>
      <c r="S56" s="110"/>
      <c r="T56" s="112"/>
      <c r="U56" s="5"/>
      <c r="V56" s="5"/>
      <c r="W56" s="5"/>
      <c r="X56" s="5"/>
      <c r="Y56" s="5"/>
      <c r="Z56" s="5"/>
      <c r="AA56" s="112"/>
      <c r="AB56" s="5"/>
      <c r="AC56" s="5"/>
    </row>
    <row r="57" ht="18.0" customHeight="1">
      <c r="A57" s="109"/>
      <c r="B57" s="110"/>
      <c r="C57" s="111"/>
      <c r="D57" s="112"/>
      <c r="E57" s="113"/>
      <c r="F57" s="114"/>
      <c r="G57" s="114"/>
      <c r="H57" s="113"/>
      <c r="I57" s="114"/>
      <c r="J57" s="114"/>
      <c r="K57" s="114"/>
      <c r="L57" s="110"/>
      <c r="M57" s="110"/>
      <c r="N57" s="110"/>
      <c r="O57" s="110"/>
      <c r="P57" s="110"/>
      <c r="Q57" s="110"/>
      <c r="R57" s="110"/>
      <c r="S57" s="110"/>
      <c r="T57" s="112"/>
      <c r="U57" s="5"/>
      <c r="V57" s="5"/>
      <c r="W57" s="5"/>
      <c r="X57" s="5"/>
      <c r="Y57" s="5"/>
      <c r="Z57" s="5"/>
      <c r="AA57" s="112"/>
      <c r="AB57" s="5"/>
      <c r="AC57" s="5"/>
    </row>
    <row r="58" ht="18.0" customHeight="1">
      <c r="A58" s="109"/>
      <c r="B58" s="110"/>
      <c r="C58" s="111"/>
      <c r="D58" s="112"/>
      <c r="E58" s="113"/>
      <c r="F58" s="114"/>
      <c r="G58" s="114"/>
      <c r="H58" s="113"/>
      <c r="I58" s="114"/>
      <c r="J58" s="114"/>
      <c r="K58" s="114"/>
      <c r="L58" s="110"/>
      <c r="M58" s="110"/>
      <c r="N58" s="110"/>
      <c r="O58" s="110"/>
      <c r="P58" s="110"/>
      <c r="Q58" s="110"/>
      <c r="R58" s="110"/>
      <c r="S58" s="110"/>
      <c r="T58" s="112"/>
      <c r="U58" s="5"/>
      <c r="V58" s="5"/>
      <c r="W58" s="5"/>
      <c r="X58" s="5"/>
      <c r="Y58" s="5"/>
      <c r="Z58" s="5"/>
      <c r="AA58" s="112"/>
      <c r="AB58" s="5"/>
      <c r="AC58" s="5"/>
    </row>
    <row r="59" ht="18.0" customHeight="1">
      <c r="A59" s="109"/>
      <c r="B59" s="110"/>
      <c r="C59" s="111"/>
      <c r="D59" s="112"/>
      <c r="E59" s="113"/>
      <c r="F59" s="114"/>
      <c r="G59" s="114"/>
      <c r="H59" s="113"/>
      <c r="I59" s="114"/>
      <c r="J59" s="114"/>
      <c r="K59" s="114"/>
      <c r="L59" s="110"/>
      <c r="M59" s="110"/>
      <c r="N59" s="110"/>
      <c r="O59" s="110"/>
      <c r="P59" s="110"/>
      <c r="Q59" s="110"/>
      <c r="R59" s="110"/>
      <c r="S59" s="110"/>
      <c r="T59" s="112"/>
      <c r="U59" s="5"/>
      <c r="V59" s="5"/>
      <c r="W59" s="5"/>
      <c r="X59" s="5"/>
      <c r="Y59" s="5"/>
      <c r="Z59" s="5"/>
      <c r="AA59" s="112"/>
      <c r="AB59" s="5"/>
      <c r="AC59" s="5"/>
    </row>
    <row r="60" ht="18.0" customHeight="1">
      <c r="A60" s="109"/>
      <c r="B60" s="110"/>
      <c r="C60" s="111"/>
      <c r="D60" s="112"/>
      <c r="E60" s="113"/>
      <c r="F60" s="114"/>
      <c r="G60" s="114"/>
      <c r="H60" s="113"/>
      <c r="I60" s="114"/>
      <c r="J60" s="114"/>
      <c r="K60" s="114"/>
      <c r="L60" s="110"/>
      <c r="M60" s="110"/>
      <c r="N60" s="110"/>
      <c r="O60" s="110"/>
      <c r="P60" s="110"/>
      <c r="Q60" s="110"/>
      <c r="R60" s="110"/>
      <c r="S60" s="110"/>
      <c r="T60" s="112"/>
      <c r="U60" s="5"/>
      <c r="V60" s="5"/>
      <c r="W60" s="5"/>
      <c r="X60" s="5"/>
      <c r="Y60" s="5"/>
      <c r="Z60" s="5"/>
      <c r="AA60" s="112"/>
      <c r="AB60" s="5"/>
      <c r="AC60" s="5"/>
    </row>
    <row r="61" ht="18.0" customHeight="1">
      <c r="A61" s="109"/>
      <c r="B61" s="110"/>
      <c r="C61" s="111"/>
      <c r="D61" s="112"/>
      <c r="E61" s="113"/>
      <c r="F61" s="114"/>
      <c r="G61" s="114"/>
      <c r="H61" s="113"/>
      <c r="I61" s="114"/>
      <c r="J61" s="114"/>
      <c r="K61" s="114"/>
      <c r="L61" s="110"/>
      <c r="M61" s="110"/>
      <c r="N61" s="110"/>
      <c r="O61" s="110"/>
      <c r="P61" s="110"/>
      <c r="Q61" s="110"/>
      <c r="R61" s="110"/>
      <c r="S61" s="110"/>
      <c r="T61" s="112"/>
      <c r="U61" s="5"/>
      <c r="V61" s="5"/>
      <c r="W61" s="5"/>
      <c r="X61" s="5"/>
      <c r="Y61" s="5"/>
      <c r="Z61" s="5"/>
      <c r="AA61" s="112"/>
      <c r="AB61" s="5"/>
      <c r="AC61" s="5"/>
    </row>
    <row r="62" ht="18.0" customHeight="1">
      <c r="A62" s="109"/>
      <c r="B62" s="110"/>
      <c r="C62" s="111"/>
      <c r="D62" s="112"/>
      <c r="E62" s="113"/>
      <c r="F62" s="114"/>
      <c r="G62" s="114"/>
      <c r="H62" s="113"/>
      <c r="I62" s="114"/>
      <c r="J62" s="114"/>
      <c r="K62" s="114"/>
      <c r="L62" s="110"/>
      <c r="M62" s="110"/>
      <c r="N62" s="110"/>
      <c r="O62" s="110"/>
      <c r="P62" s="110"/>
      <c r="Q62" s="110"/>
      <c r="R62" s="110"/>
      <c r="S62" s="110"/>
      <c r="T62" s="112"/>
      <c r="U62" s="5"/>
      <c r="V62" s="5"/>
      <c r="W62" s="5"/>
      <c r="X62" s="5"/>
      <c r="Y62" s="5"/>
      <c r="Z62" s="5"/>
      <c r="AA62" s="112"/>
      <c r="AB62" s="5"/>
      <c r="AC62" s="5"/>
    </row>
    <row r="63" ht="18.0" customHeight="1">
      <c r="A63" s="109"/>
      <c r="B63" s="110"/>
      <c r="C63" s="111"/>
      <c r="D63" s="112"/>
      <c r="E63" s="113"/>
      <c r="F63" s="114"/>
      <c r="G63" s="114"/>
      <c r="H63" s="113"/>
      <c r="I63" s="114"/>
      <c r="J63" s="114"/>
      <c r="K63" s="114"/>
      <c r="L63" s="110"/>
      <c r="M63" s="110"/>
      <c r="N63" s="110"/>
      <c r="O63" s="110"/>
      <c r="P63" s="110"/>
      <c r="Q63" s="110"/>
      <c r="R63" s="110"/>
      <c r="S63" s="110"/>
      <c r="T63" s="112"/>
      <c r="U63" s="5"/>
      <c r="V63" s="5"/>
      <c r="W63" s="5"/>
      <c r="X63" s="5"/>
      <c r="Y63" s="5"/>
      <c r="Z63" s="5"/>
      <c r="AA63" s="112"/>
      <c r="AB63" s="5"/>
      <c r="AC63" s="5"/>
    </row>
    <row r="64" ht="18.0" customHeight="1">
      <c r="A64" s="109"/>
      <c r="B64" s="110"/>
      <c r="C64" s="111"/>
      <c r="D64" s="112"/>
      <c r="E64" s="113"/>
      <c r="F64" s="114"/>
      <c r="G64" s="114"/>
      <c r="H64" s="113"/>
      <c r="I64" s="114"/>
      <c r="J64" s="114"/>
      <c r="K64" s="114"/>
      <c r="L64" s="110"/>
      <c r="M64" s="110"/>
      <c r="N64" s="110"/>
      <c r="O64" s="110"/>
      <c r="P64" s="110"/>
      <c r="Q64" s="110"/>
      <c r="R64" s="110"/>
      <c r="S64" s="110"/>
      <c r="T64" s="112"/>
      <c r="U64" s="5"/>
      <c r="V64" s="5"/>
      <c r="W64" s="5"/>
      <c r="X64" s="5"/>
      <c r="Y64" s="5"/>
      <c r="Z64" s="5"/>
      <c r="AA64" s="112"/>
      <c r="AB64" s="5"/>
      <c r="AC64" s="5"/>
    </row>
    <row r="65" ht="18.0" customHeight="1">
      <c r="A65" s="109"/>
      <c r="B65" s="110"/>
      <c r="C65" s="111"/>
      <c r="D65" s="112"/>
      <c r="E65" s="113"/>
      <c r="F65" s="114"/>
      <c r="G65" s="114"/>
      <c r="H65" s="113"/>
      <c r="I65" s="114"/>
      <c r="J65" s="114"/>
      <c r="K65" s="114"/>
      <c r="L65" s="110"/>
      <c r="M65" s="110"/>
      <c r="N65" s="110"/>
      <c r="O65" s="110"/>
      <c r="P65" s="110"/>
      <c r="Q65" s="110"/>
      <c r="R65" s="110"/>
      <c r="S65" s="110"/>
      <c r="T65" s="112"/>
      <c r="U65" s="5"/>
      <c r="V65" s="5"/>
      <c r="W65" s="5"/>
      <c r="X65" s="5"/>
      <c r="Y65" s="5"/>
      <c r="Z65" s="5"/>
      <c r="AA65" s="112"/>
      <c r="AB65" s="5"/>
      <c r="AC65" s="5"/>
    </row>
    <row r="66" ht="18.0" customHeight="1">
      <c r="A66" s="109"/>
      <c r="B66" s="110"/>
      <c r="C66" s="111"/>
      <c r="D66" s="112"/>
      <c r="E66" s="113"/>
      <c r="F66" s="114"/>
      <c r="G66" s="114"/>
      <c r="H66" s="113"/>
      <c r="I66" s="114"/>
      <c r="J66" s="114"/>
      <c r="K66" s="114"/>
      <c r="L66" s="110"/>
      <c r="M66" s="110"/>
      <c r="N66" s="110"/>
      <c r="O66" s="110"/>
      <c r="P66" s="110"/>
      <c r="Q66" s="110"/>
      <c r="R66" s="110"/>
      <c r="S66" s="110"/>
      <c r="T66" s="112"/>
      <c r="U66" s="5"/>
      <c r="V66" s="5"/>
      <c r="W66" s="5"/>
      <c r="X66" s="5"/>
      <c r="Y66" s="5"/>
      <c r="Z66" s="5"/>
      <c r="AA66" s="112"/>
      <c r="AB66" s="5"/>
      <c r="AC66" s="5"/>
    </row>
    <row r="67" ht="18.0" customHeight="1">
      <c r="A67" s="109"/>
      <c r="B67" s="110"/>
      <c r="C67" s="111"/>
      <c r="D67" s="112"/>
      <c r="E67" s="113"/>
      <c r="F67" s="114"/>
      <c r="G67" s="114"/>
      <c r="H67" s="113"/>
      <c r="I67" s="114"/>
      <c r="J67" s="114"/>
      <c r="K67" s="114"/>
      <c r="L67" s="110"/>
      <c r="M67" s="110"/>
      <c r="N67" s="110"/>
      <c r="O67" s="110"/>
      <c r="P67" s="110"/>
      <c r="Q67" s="110"/>
      <c r="R67" s="110"/>
      <c r="S67" s="110"/>
      <c r="T67" s="112"/>
      <c r="U67" s="5"/>
      <c r="V67" s="5"/>
      <c r="W67" s="5"/>
      <c r="X67" s="5"/>
      <c r="Y67" s="5"/>
      <c r="Z67" s="5"/>
      <c r="AA67" s="112"/>
      <c r="AB67" s="5"/>
      <c r="AC67" s="5"/>
    </row>
    <row r="68" ht="18.0" customHeight="1">
      <c r="A68" s="109"/>
      <c r="B68" s="110"/>
      <c r="C68" s="111"/>
      <c r="D68" s="112"/>
      <c r="E68" s="113"/>
      <c r="F68" s="114"/>
      <c r="G68" s="114"/>
      <c r="H68" s="113"/>
      <c r="I68" s="114"/>
      <c r="J68" s="114"/>
      <c r="K68" s="114"/>
      <c r="L68" s="110"/>
      <c r="M68" s="110"/>
      <c r="N68" s="110"/>
      <c r="O68" s="110"/>
      <c r="P68" s="110"/>
      <c r="Q68" s="110"/>
      <c r="R68" s="110"/>
      <c r="S68" s="110"/>
      <c r="T68" s="112"/>
      <c r="U68" s="5"/>
      <c r="V68" s="5"/>
      <c r="W68" s="5"/>
      <c r="X68" s="5"/>
      <c r="Y68" s="5"/>
      <c r="Z68" s="5"/>
      <c r="AA68" s="112"/>
      <c r="AB68" s="5"/>
      <c r="AC68" s="5"/>
    </row>
    <row r="69" ht="18.0" customHeight="1">
      <c r="A69" s="109"/>
      <c r="B69" s="110"/>
      <c r="C69" s="111"/>
      <c r="D69" s="112"/>
      <c r="E69" s="113"/>
      <c r="F69" s="114"/>
      <c r="G69" s="114"/>
      <c r="H69" s="113"/>
      <c r="I69" s="114"/>
      <c r="J69" s="114"/>
      <c r="K69" s="114"/>
      <c r="L69" s="110"/>
      <c r="M69" s="110"/>
      <c r="N69" s="110"/>
      <c r="O69" s="110"/>
      <c r="P69" s="110"/>
      <c r="Q69" s="110"/>
      <c r="R69" s="110"/>
      <c r="S69" s="110"/>
      <c r="T69" s="112"/>
      <c r="U69" s="5"/>
      <c r="V69" s="5"/>
      <c r="W69" s="5"/>
      <c r="X69" s="5"/>
      <c r="Y69" s="5"/>
      <c r="Z69" s="5"/>
      <c r="AA69" s="112"/>
      <c r="AB69" s="5"/>
      <c r="AC69" s="5"/>
    </row>
    <row r="70" ht="18.0" customHeight="1">
      <c r="A70" s="109"/>
      <c r="B70" s="110"/>
      <c r="C70" s="111"/>
      <c r="D70" s="112"/>
      <c r="E70" s="113"/>
      <c r="F70" s="114"/>
      <c r="G70" s="114"/>
      <c r="H70" s="113"/>
      <c r="I70" s="114"/>
      <c r="J70" s="114"/>
      <c r="K70" s="114"/>
      <c r="L70" s="110"/>
      <c r="M70" s="110"/>
      <c r="N70" s="110"/>
      <c r="O70" s="110"/>
      <c r="P70" s="110"/>
      <c r="Q70" s="110"/>
      <c r="R70" s="110"/>
      <c r="S70" s="110"/>
      <c r="T70" s="112"/>
      <c r="U70" s="5"/>
      <c r="V70" s="5"/>
      <c r="W70" s="5"/>
      <c r="X70" s="5"/>
      <c r="Y70" s="5"/>
      <c r="Z70" s="5"/>
      <c r="AA70" s="112"/>
      <c r="AB70" s="5"/>
      <c r="AC70" s="5"/>
    </row>
    <row r="71" ht="18.0" customHeight="1">
      <c r="A71" s="109"/>
      <c r="B71" s="110"/>
      <c r="C71" s="111"/>
      <c r="D71" s="112"/>
      <c r="E71" s="113"/>
      <c r="F71" s="114"/>
      <c r="G71" s="114"/>
      <c r="H71" s="113"/>
      <c r="I71" s="114"/>
      <c r="J71" s="114"/>
      <c r="K71" s="114"/>
      <c r="L71" s="110"/>
      <c r="M71" s="110"/>
      <c r="N71" s="110"/>
      <c r="O71" s="110"/>
      <c r="P71" s="110"/>
      <c r="Q71" s="110"/>
      <c r="R71" s="110"/>
      <c r="S71" s="110"/>
      <c r="T71" s="112"/>
      <c r="U71" s="5"/>
      <c r="V71" s="5"/>
      <c r="W71" s="5"/>
      <c r="X71" s="5"/>
      <c r="Y71" s="5"/>
      <c r="Z71" s="5"/>
      <c r="AA71" s="112"/>
      <c r="AB71" s="5"/>
      <c r="AC71" s="5"/>
    </row>
    <row r="72" ht="18.0" customHeight="1">
      <c r="A72" s="109"/>
      <c r="B72" s="110"/>
      <c r="C72" s="111"/>
      <c r="D72" s="112"/>
      <c r="E72" s="113"/>
      <c r="F72" s="114"/>
      <c r="G72" s="114"/>
      <c r="H72" s="113"/>
      <c r="I72" s="114"/>
      <c r="J72" s="114"/>
      <c r="K72" s="114"/>
      <c r="L72" s="110"/>
      <c r="M72" s="110"/>
      <c r="N72" s="110"/>
      <c r="O72" s="110"/>
      <c r="P72" s="110"/>
      <c r="Q72" s="110"/>
      <c r="R72" s="110"/>
      <c r="S72" s="110"/>
      <c r="T72" s="112"/>
      <c r="U72" s="5"/>
      <c r="V72" s="5"/>
      <c r="W72" s="5"/>
      <c r="X72" s="5"/>
      <c r="Y72" s="5"/>
      <c r="Z72" s="5"/>
      <c r="AA72" s="112"/>
      <c r="AB72" s="5"/>
      <c r="AC72" s="5"/>
    </row>
    <row r="73" ht="18.0" customHeight="1">
      <c r="A73" s="109"/>
      <c r="B73" s="110"/>
      <c r="C73" s="111"/>
      <c r="D73" s="112"/>
      <c r="E73" s="113"/>
      <c r="F73" s="114"/>
      <c r="G73" s="114"/>
      <c r="H73" s="113"/>
      <c r="I73" s="114"/>
      <c r="J73" s="114"/>
      <c r="K73" s="114"/>
      <c r="L73" s="110"/>
      <c r="M73" s="110"/>
      <c r="N73" s="110"/>
      <c r="O73" s="110"/>
      <c r="P73" s="110"/>
      <c r="Q73" s="110"/>
      <c r="R73" s="110"/>
      <c r="S73" s="110"/>
      <c r="T73" s="112"/>
      <c r="U73" s="5"/>
      <c r="V73" s="5"/>
      <c r="W73" s="5"/>
      <c r="X73" s="5"/>
      <c r="Y73" s="5"/>
      <c r="Z73" s="5"/>
      <c r="AA73" s="112"/>
      <c r="AB73" s="5"/>
      <c r="AC73" s="5"/>
    </row>
    <row r="74" ht="18.0" customHeight="1">
      <c r="A74" s="109"/>
      <c r="B74" s="110"/>
      <c r="C74" s="111"/>
      <c r="D74" s="112"/>
      <c r="E74" s="113"/>
      <c r="F74" s="114"/>
      <c r="G74" s="114"/>
      <c r="H74" s="113"/>
      <c r="I74" s="114"/>
      <c r="J74" s="114"/>
      <c r="K74" s="114"/>
      <c r="L74" s="110"/>
      <c r="M74" s="110"/>
      <c r="N74" s="110"/>
      <c r="O74" s="110"/>
      <c r="P74" s="110"/>
      <c r="Q74" s="110"/>
      <c r="R74" s="110"/>
      <c r="S74" s="110"/>
      <c r="T74" s="112"/>
      <c r="U74" s="5"/>
      <c r="V74" s="5"/>
      <c r="W74" s="5"/>
      <c r="X74" s="5"/>
      <c r="Y74" s="5"/>
      <c r="Z74" s="5"/>
      <c r="AA74" s="112"/>
      <c r="AB74" s="5"/>
      <c r="AC74" s="5"/>
    </row>
    <row r="75" ht="18.0" customHeight="1">
      <c r="A75" s="109"/>
      <c r="B75" s="110"/>
      <c r="C75" s="111"/>
      <c r="D75" s="112"/>
      <c r="E75" s="113"/>
      <c r="F75" s="114"/>
      <c r="G75" s="114"/>
      <c r="H75" s="113"/>
      <c r="I75" s="114"/>
      <c r="J75" s="114"/>
      <c r="K75" s="114"/>
      <c r="L75" s="110"/>
      <c r="M75" s="110"/>
      <c r="N75" s="110"/>
      <c r="O75" s="110"/>
      <c r="P75" s="110"/>
      <c r="Q75" s="110"/>
      <c r="R75" s="110"/>
      <c r="S75" s="110"/>
      <c r="T75" s="112"/>
      <c r="U75" s="5"/>
      <c r="V75" s="5"/>
      <c r="W75" s="5"/>
      <c r="X75" s="5"/>
      <c r="Y75" s="5"/>
      <c r="Z75" s="5"/>
      <c r="AA75" s="112"/>
      <c r="AB75" s="5"/>
      <c r="AC75" s="5"/>
    </row>
    <row r="76" ht="18.0" customHeight="1">
      <c r="A76" s="109"/>
      <c r="B76" s="110"/>
      <c r="C76" s="111"/>
      <c r="D76" s="112"/>
      <c r="E76" s="113"/>
      <c r="F76" s="114"/>
      <c r="G76" s="114"/>
      <c r="H76" s="113"/>
      <c r="I76" s="114"/>
      <c r="J76" s="114"/>
      <c r="K76" s="114"/>
      <c r="L76" s="110"/>
      <c r="M76" s="110"/>
      <c r="N76" s="110"/>
      <c r="O76" s="110"/>
      <c r="P76" s="110"/>
      <c r="Q76" s="110"/>
      <c r="R76" s="110"/>
      <c r="S76" s="110"/>
      <c r="T76" s="112"/>
      <c r="U76" s="5"/>
      <c r="V76" s="5"/>
      <c r="W76" s="5"/>
      <c r="X76" s="5"/>
      <c r="Y76" s="5"/>
      <c r="Z76" s="5"/>
      <c r="AA76" s="112"/>
      <c r="AB76" s="5"/>
      <c r="AC76" s="5"/>
    </row>
    <row r="77" ht="18.0" customHeight="1">
      <c r="A77" s="109"/>
      <c r="B77" s="110"/>
      <c r="C77" s="111"/>
      <c r="D77" s="112"/>
      <c r="E77" s="113"/>
      <c r="F77" s="114"/>
      <c r="G77" s="114"/>
      <c r="H77" s="113"/>
      <c r="I77" s="114"/>
      <c r="J77" s="114"/>
      <c r="K77" s="114"/>
      <c r="L77" s="110"/>
      <c r="M77" s="110"/>
      <c r="N77" s="110"/>
      <c r="O77" s="110"/>
      <c r="P77" s="110"/>
      <c r="Q77" s="110"/>
      <c r="R77" s="110"/>
      <c r="S77" s="110"/>
      <c r="T77" s="112"/>
      <c r="U77" s="5"/>
      <c r="V77" s="5"/>
      <c r="W77" s="5"/>
      <c r="X77" s="5"/>
      <c r="Y77" s="5"/>
      <c r="Z77" s="5"/>
      <c r="AA77" s="112"/>
      <c r="AB77" s="5"/>
      <c r="AC77" s="5"/>
    </row>
    <row r="78" ht="18.0" customHeight="1">
      <c r="A78" s="109"/>
      <c r="B78" s="110"/>
      <c r="C78" s="111"/>
      <c r="D78" s="112"/>
      <c r="E78" s="113"/>
      <c r="F78" s="114"/>
      <c r="G78" s="114"/>
      <c r="H78" s="113"/>
      <c r="I78" s="114"/>
      <c r="J78" s="114"/>
      <c r="K78" s="114"/>
      <c r="L78" s="110"/>
      <c r="M78" s="110"/>
      <c r="N78" s="110"/>
      <c r="O78" s="110"/>
      <c r="P78" s="110"/>
      <c r="Q78" s="110"/>
      <c r="R78" s="110"/>
      <c r="S78" s="110"/>
      <c r="T78" s="112"/>
      <c r="U78" s="5"/>
      <c r="V78" s="5"/>
      <c r="W78" s="5"/>
      <c r="X78" s="5"/>
      <c r="Y78" s="5"/>
      <c r="Z78" s="5"/>
      <c r="AA78" s="112"/>
      <c r="AB78" s="5"/>
      <c r="AC78" s="5"/>
    </row>
    <row r="79" ht="18.0" customHeight="1">
      <c r="A79" s="109"/>
      <c r="B79" s="110"/>
      <c r="C79" s="111"/>
      <c r="D79" s="112"/>
      <c r="E79" s="113"/>
      <c r="F79" s="114"/>
      <c r="G79" s="114"/>
      <c r="H79" s="113"/>
      <c r="I79" s="114"/>
      <c r="J79" s="114"/>
      <c r="K79" s="114"/>
      <c r="L79" s="110"/>
      <c r="M79" s="110"/>
      <c r="N79" s="110"/>
      <c r="O79" s="110"/>
      <c r="P79" s="110"/>
      <c r="Q79" s="110"/>
      <c r="R79" s="110"/>
      <c r="S79" s="110"/>
      <c r="T79" s="112"/>
      <c r="U79" s="5"/>
      <c r="V79" s="5"/>
      <c r="W79" s="5"/>
      <c r="X79" s="5"/>
      <c r="Y79" s="5"/>
      <c r="Z79" s="5"/>
      <c r="AA79" s="112"/>
      <c r="AB79" s="5"/>
      <c r="AC79" s="5"/>
    </row>
    <row r="80" ht="18.0" customHeight="1">
      <c r="A80" s="109"/>
      <c r="B80" s="110"/>
      <c r="C80" s="111"/>
      <c r="D80" s="112"/>
      <c r="E80" s="113"/>
      <c r="F80" s="114"/>
      <c r="G80" s="114"/>
      <c r="H80" s="113"/>
      <c r="I80" s="114"/>
      <c r="J80" s="114"/>
      <c r="K80" s="114"/>
      <c r="L80" s="110"/>
      <c r="M80" s="110"/>
      <c r="N80" s="110"/>
      <c r="O80" s="110"/>
      <c r="P80" s="110"/>
      <c r="Q80" s="110"/>
      <c r="R80" s="110"/>
      <c r="S80" s="110"/>
      <c r="T80" s="112"/>
      <c r="U80" s="5"/>
      <c r="V80" s="5"/>
      <c r="W80" s="5"/>
      <c r="X80" s="5"/>
      <c r="Y80" s="5"/>
      <c r="Z80" s="5"/>
      <c r="AA80" s="112"/>
      <c r="AB80" s="5"/>
      <c r="AC80" s="5"/>
    </row>
    <row r="81" ht="18.0" customHeight="1">
      <c r="A81" s="109"/>
      <c r="B81" s="110"/>
      <c r="C81" s="111"/>
      <c r="D81" s="112"/>
      <c r="E81" s="113"/>
      <c r="F81" s="114"/>
      <c r="G81" s="114"/>
      <c r="H81" s="113"/>
      <c r="I81" s="114"/>
      <c r="J81" s="114"/>
      <c r="K81" s="114"/>
      <c r="L81" s="110"/>
      <c r="M81" s="110"/>
      <c r="N81" s="110"/>
      <c r="O81" s="110"/>
      <c r="P81" s="110"/>
      <c r="Q81" s="110"/>
      <c r="R81" s="110"/>
      <c r="S81" s="110"/>
      <c r="T81" s="112"/>
      <c r="U81" s="5"/>
      <c r="V81" s="5"/>
      <c r="W81" s="5"/>
      <c r="X81" s="5"/>
      <c r="Y81" s="5"/>
      <c r="Z81" s="5"/>
      <c r="AA81" s="112"/>
      <c r="AB81" s="5"/>
      <c r="AC81" s="5"/>
    </row>
    <row r="82" ht="18.0" customHeight="1">
      <c r="A82" s="109"/>
      <c r="B82" s="110"/>
      <c r="C82" s="111"/>
      <c r="D82" s="112"/>
      <c r="E82" s="113"/>
      <c r="F82" s="114"/>
      <c r="G82" s="114"/>
      <c r="H82" s="113"/>
      <c r="I82" s="114"/>
      <c r="J82" s="114"/>
      <c r="K82" s="114"/>
      <c r="L82" s="110"/>
      <c r="M82" s="110"/>
      <c r="N82" s="110"/>
      <c r="O82" s="110"/>
      <c r="P82" s="110"/>
      <c r="Q82" s="110"/>
      <c r="R82" s="110"/>
      <c r="S82" s="110"/>
      <c r="T82" s="112"/>
      <c r="U82" s="5"/>
      <c r="V82" s="5"/>
      <c r="W82" s="5"/>
      <c r="X82" s="5"/>
      <c r="Y82" s="5"/>
      <c r="Z82" s="5"/>
      <c r="AA82" s="112"/>
      <c r="AB82" s="5"/>
      <c r="AC82" s="5"/>
    </row>
    <row r="83" ht="18.0" customHeight="1">
      <c r="A83" s="109"/>
      <c r="B83" s="110"/>
      <c r="C83" s="111"/>
      <c r="D83" s="112"/>
      <c r="E83" s="113"/>
      <c r="F83" s="114"/>
      <c r="G83" s="114"/>
      <c r="H83" s="113"/>
      <c r="I83" s="114"/>
      <c r="J83" s="114"/>
      <c r="K83" s="114"/>
      <c r="L83" s="110"/>
      <c r="M83" s="110"/>
      <c r="N83" s="110"/>
      <c r="O83" s="110"/>
      <c r="P83" s="110"/>
      <c r="Q83" s="110"/>
      <c r="R83" s="110"/>
      <c r="S83" s="110"/>
      <c r="T83" s="112"/>
      <c r="U83" s="5"/>
      <c r="V83" s="5"/>
      <c r="W83" s="5"/>
      <c r="X83" s="5"/>
      <c r="Y83" s="5"/>
      <c r="Z83" s="5"/>
      <c r="AA83" s="112"/>
      <c r="AB83" s="5"/>
      <c r="AC83" s="5"/>
    </row>
    <row r="84" ht="18.0" customHeight="1">
      <c r="A84" s="109"/>
      <c r="B84" s="110"/>
      <c r="C84" s="111"/>
      <c r="D84" s="112"/>
      <c r="E84" s="113"/>
      <c r="F84" s="114"/>
      <c r="G84" s="114"/>
      <c r="H84" s="113"/>
      <c r="I84" s="114"/>
      <c r="J84" s="114"/>
      <c r="K84" s="114"/>
      <c r="L84" s="110"/>
      <c r="M84" s="110"/>
      <c r="N84" s="110"/>
      <c r="O84" s="110"/>
      <c r="P84" s="110"/>
      <c r="Q84" s="110"/>
      <c r="R84" s="110"/>
      <c r="S84" s="110"/>
      <c r="T84" s="112"/>
      <c r="U84" s="5"/>
      <c r="V84" s="5"/>
      <c r="W84" s="5"/>
      <c r="X84" s="5"/>
      <c r="Y84" s="5"/>
      <c r="Z84" s="5"/>
      <c r="AA84" s="112"/>
      <c r="AB84" s="5"/>
      <c r="AC84" s="5"/>
    </row>
    <row r="85" ht="18.0" customHeight="1">
      <c r="A85" s="109"/>
      <c r="B85" s="110"/>
      <c r="C85" s="111"/>
      <c r="D85" s="112"/>
      <c r="E85" s="113"/>
      <c r="F85" s="114"/>
      <c r="G85" s="114"/>
      <c r="H85" s="113"/>
      <c r="I85" s="114"/>
      <c r="J85" s="114"/>
      <c r="K85" s="114"/>
      <c r="L85" s="110"/>
      <c r="M85" s="110"/>
      <c r="N85" s="110"/>
      <c r="O85" s="110"/>
      <c r="P85" s="110"/>
      <c r="Q85" s="110"/>
      <c r="R85" s="110"/>
      <c r="S85" s="110"/>
      <c r="T85" s="112"/>
      <c r="U85" s="5"/>
      <c r="V85" s="5"/>
      <c r="W85" s="5"/>
      <c r="X85" s="5"/>
      <c r="Y85" s="5"/>
      <c r="Z85" s="5"/>
      <c r="AA85" s="112"/>
      <c r="AB85" s="5"/>
      <c r="AC85" s="5"/>
    </row>
    <row r="86" ht="18.0" customHeight="1">
      <c r="A86" s="109"/>
      <c r="B86" s="110"/>
      <c r="C86" s="111"/>
      <c r="D86" s="112"/>
      <c r="E86" s="113"/>
      <c r="F86" s="114"/>
      <c r="G86" s="114"/>
      <c r="H86" s="113"/>
      <c r="I86" s="114"/>
      <c r="J86" s="114"/>
      <c r="K86" s="114"/>
      <c r="L86" s="110"/>
      <c r="M86" s="110"/>
      <c r="N86" s="110"/>
      <c r="O86" s="110"/>
      <c r="P86" s="110"/>
      <c r="Q86" s="110"/>
      <c r="R86" s="110"/>
      <c r="S86" s="110"/>
      <c r="T86" s="112"/>
      <c r="U86" s="5"/>
      <c r="V86" s="5"/>
      <c r="W86" s="5"/>
      <c r="X86" s="5"/>
      <c r="Y86" s="5"/>
      <c r="Z86" s="5"/>
      <c r="AA86" s="112"/>
      <c r="AB86" s="5"/>
      <c r="AC86" s="5"/>
    </row>
    <row r="87" ht="18.0" customHeight="1">
      <c r="A87" s="109"/>
      <c r="B87" s="110"/>
      <c r="C87" s="111"/>
      <c r="D87" s="112"/>
      <c r="E87" s="113"/>
      <c r="F87" s="114"/>
      <c r="G87" s="114"/>
      <c r="H87" s="113"/>
      <c r="I87" s="114"/>
      <c r="J87" s="114"/>
      <c r="K87" s="114"/>
      <c r="L87" s="110"/>
      <c r="M87" s="110"/>
      <c r="N87" s="110"/>
      <c r="O87" s="110"/>
      <c r="P87" s="110"/>
      <c r="Q87" s="110"/>
      <c r="R87" s="110"/>
      <c r="S87" s="110"/>
      <c r="T87" s="112"/>
      <c r="U87" s="5"/>
      <c r="V87" s="5"/>
      <c r="W87" s="5"/>
      <c r="X87" s="5"/>
      <c r="Y87" s="5"/>
      <c r="Z87" s="5"/>
      <c r="AA87" s="112"/>
      <c r="AB87" s="5"/>
      <c r="AC87" s="5"/>
    </row>
    <row r="88" ht="18.0" customHeight="1">
      <c r="A88" s="109"/>
      <c r="B88" s="110"/>
      <c r="C88" s="111"/>
      <c r="D88" s="112"/>
      <c r="E88" s="113"/>
      <c r="F88" s="114"/>
      <c r="G88" s="114"/>
      <c r="H88" s="113"/>
      <c r="I88" s="114"/>
      <c r="J88" s="114"/>
      <c r="K88" s="114"/>
      <c r="L88" s="110"/>
      <c r="M88" s="110"/>
      <c r="N88" s="110"/>
      <c r="O88" s="110"/>
      <c r="P88" s="110"/>
      <c r="Q88" s="110"/>
      <c r="R88" s="110"/>
      <c r="S88" s="110"/>
      <c r="T88" s="112"/>
      <c r="U88" s="5"/>
      <c r="V88" s="5"/>
      <c r="W88" s="5"/>
      <c r="X88" s="5"/>
      <c r="Y88" s="5"/>
      <c r="Z88" s="5"/>
      <c r="AA88" s="112"/>
      <c r="AB88" s="5"/>
      <c r="AC88" s="5"/>
    </row>
    <row r="89" ht="18.0" customHeight="1">
      <c r="A89" s="109"/>
      <c r="B89" s="110"/>
      <c r="C89" s="111"/>
      <c r="D89" s="112"/>
      <c r="E89" s="113"/>
      <c r="F89" s="114"/>
      <c r="G89" s="114"/>
      <c r="H89" s="113"/>
      <c r="I89" s="114"/>
      <c r="J89" s="114"/>
      <c r="K89" s="114"/>
      <c r="L89" s="110"/>
      <c r="M89" s="110"/>
      <c r="N89" s="110"/>
      <c r="O89" s="110"/>
      <c r="P89" s="110"/>
      <c r="Q89" s="110"/>
      <c r="R89" s="110"/>
      <c r="S89" s="110"/>
      <c r="T89" s="112"/>
      <c r="U89" s="5"/>
      <c r="V89" s="5"/>
      <c r="W89" s="5"/>
      <c r="X89" s="5"/>
      <c r="Y89" s="5"/>
      <c r="Z89" s="5"/>
      <c r="AA89" s="112"/>
      <c r="AB89" s="5"/>
      <c r="AC89" s="5"/>
    </row>
    <row r="90" ht="18.0" customHeight="1">
      <c r="A90" s="109"/>
      <c r="B90" s="110"/>
      <c r="C90" s="111"/>
      <c r="D90" s="112"/>
      <c r="E90" s="113"/>
      <c r="F90" s="114"/>
      <c r="G90" s="114"/>
      <c r="H90" s="113"/>
      <c r="I90" s="114"/>
      <c r="J90" s="114"/>
      <c r="K90" s="114"/>
      <c r="L90" s="110"/>
      <c r="M90" s="110"/>
      <c r="N90" s="110"/>
      <c r="O90" s="110"/>
      <c r="P90" s="110"/>
      <c r="Q90" s="110"/>
      <c r="R90" s="110"/>
      <c r="S90" s="110"/>
      <c r="T90" s="112"/>
      <c r="U90" s="5"/>
      <c r="V90" s="5"/>
      <c r="W90" s="5"/>
      <c r="X90" s="5"/>
      <c r="Y90" s="5"/>
      <c r="Z90" s="5"/>
      <c r="AA90" s="112"/>
      <c r="AB90" s="5"/>
      <c r="AC90" s="5"/>
    </row>
    <row r="91" ht="18.0" customHeight="1">
      <c r="A91" s="109"/>
      <c r="B91" s="110"/>
      <c r="C91" s="111"/>
      <c r="D91" s="112"/>
      <c r="E91" s="113"/>
      <c r="F91" s="114"/>
      <c r="G91" s="114"/>
      <c r="H91" s="113"/>
      <c r="I91" s="114"/>
      <c r="J91" s="114"/>
      <c r="K91" s="114"/>
      <c r="L91" s="110"/>
      <c r="M91" s="110"/>
      <c r="N91" s="110"/>
      <c r="O91" s="110"/>
      <c r="P91" s="110"/>
      <c r="Q91" s="110"/>
      <c r="R91" s="110"/>
      <c r="S91" s="110"/>
      <c r="T91" s="112"/>
      <c r="U91" s="5"/>
      <c r="V91" s="5"/>
      <c r="W91" s="5"/>
      <c r="X91" s="5"/>
      <c r="Y91" s="5"/>
      <c r="Z91" s="5"/>
      <c r="AA91" s="112"/>
      <c r="AB91" s="5"/>
      <c r="AC91" s="5"/>
    </row>
    <row r="92" ht="18.0" customHeight="1">
      <c r="A92" s="109"/>
      <c r="B92" s="110"/>
      <c r="C92" s="111"/>
      <c r="D92" s="112"/>
      <c r="E92" s="113"/>
      <c r="F92" s="114"/>
      <c r="G92" s="114"/>
      <c r="H92" s="113"/>
      <c r="I92" s="114"/>
      <c r="J92" s="114"/>
      <c r="K92" s="114"/>
      <c r="L92" s="110"/>
      <c r="M92" s="110"/>
      <c r="N92" s="110"/>
      <c r="O92" s="110"/>
      <c r="P92" s="110"/>
      <c r="Q92" s="110"/>
      <c r="R92" s="110"/>
      <c r="S92" s="110"/>
      <c r="T92" s="112"/>
      <c r="U92" s="5"/>
      <c r="V92" s="5"/>
      <c r="W92" s="5"/>
      <c r="X92" s="5"/>
      <c r="Y92" s="5"/>
      <c r="Z92" s="5"/>
      <c r="AA92" s="112"/>
      <c r="AB92" s="5"/>
      <c r="AC92" s="5"/>
    </row>
    <row r="93" ht="18.0" customHeight="1">
      <c r="A93" s="109"/>
      <c r="B93" s="110"/>
      <c r="C93" s="111"/>
      <c r="D93" s="112"/>
      <c r="E93" s="113"/>
      <c r="F93" s="114"/>
      <c r="G93" s="114"/>
      <c r="H93" s="113"/>
      <c r="I93" s="114"/>
      <c r="J93" s="114"/>
      <c r="K93" s="114"/>
      <c r="L93" s="110"/>
      <c r="M93" s="110"/>
      <c r="N93" s="110"/>
      <c r="O93" s="110"/>
      <c r="P93" s="110"/>
      <c r="Q93" s="110"/>
      <c r="R93" s="110"/>
      <c r="S93" s="110"/>
      <c r="T93" s="112"/>
      <c r="U93" s="5"/>
      <c r="V93" s="5"/>
      <c r="W93" s="5"/>
      <c r="X93" s="5"/>
      <c r="Y93" s="5"/>
      <c r="Z93" s="5"/>
      <c r="AA93" s="112"/>
      <c r="AB93" s="5"/>
      <c r="AC93" s="5"/>
    </row>
    <row r="94" ht="18.0" customHeight="1">
      <c r="A94" s="109"/>
      <c r="B94" s="110"/>
      <c r="C94" s="111"/>
      <c r="D94" s="112"/>
      <c r="E94" s="113"/>
      <c r="F94" s="114"/>
      <c r="G94" s="114"/>
      <c r="H94" s="113"/>
      <c r="I94" s="114"/>
      <c r="J94" s="114"/>
      <c r="K94" s="114"/>
      <c r="L94" s="110"/>
      <c r="M94" s="110"/>
      <c r="N94" s="110"/>
      <c r="O94" s="110"/>
      <c r="P94" s="110"/>
      <c r="Q94" s="110"/>
      <c r="R94" s="110"/>
      <c r="S94" s="110"/>
      <c r="T94" s="112"/>
      <c r="U94" s="5"/>
      <c r="V94" s="5"/>
      <c r="W94" s="5"/>
      <c r="X94" s="5"/>
      <c r="Y94" s="5"/>
      <c r="Z94" s="5"/>
      <c r="AA94" s="112"/>
      <c r="AB94" s="5"/>
      <c r="AC94" s="5"/>
    </row>
    <row r="95" ht="18.0" customHeight="1">
      <c r="A95" s="109"/>
      <c r="B95" s="110"/>
      <c r="C95" s="111"/>
      <c r="D95" s="112"/>
      <c r="E95" s="113"/>
      <c r="F95" s="114"/>
      <c r="G95" s="114"/>
      <c r="H95" s="113"/>
      <c r="I95" s="114"/>
      <c r="J95" s="114"/>
      <c r="K95" s="114"/>
      <c r="L95" s="110"/>
      <c r="M95" s="110"/>
      <c r="N95" s="110"/>
      <c r="O95" s="110"/>
      <c r="P95" s="110"/>
      <c r="Q95" s="110"/>
      <c r="R95" s="110"/>
      <c r="S95" s="110"/>
      <c r="T95" s="112"/>
      <c r="U95" s="5"/>
      <c r="V95" s="5"/>
      <c r="W95" s="5"/>
      <c r="X95" s="5"/>
      <c r="Y95" s="5"/>
      <c r="Z95" s="5"/>
      <c r="AA95" s="112"/>
      <c r="AB95" s="5"/>
      <c r="AC95" s="5"/>
    </row>
    <row r="96" ht="18.0" customHeight="1">
      <c r="A96" s="109"/>
      <c r="B96" s="110"/>
      <c r="C96" s="111"/>
      <c r="D96" s="112"/>
      <c r="E96" s="113"/>
      <c r="F96" s="114"/>
      <c r="G96" s="114"/>
      <c r="H96" s="113"/>
      <c r="I96" s="114"/>
      <c r="J96" s="114"/>
      <c r="K96" s="114"/>
      <c r="L96" s="110"/>
      <c r="M96" s="110"/>
      <c r="N96" s="110"/>
      <c r="O96" s="110"/>
      <c r="P96" s="110"/>
      <c r="Q96" s="110"/>
      <c r="R96" s="110"/>
      <c r="S96" s="110"/>
      <c r="T96" s="112"/>
      <c r="U96" s="5"/>
      <c r="V96" s="5"/>
      <c r="W96" s="5"/>
      <c r="X96" s="5"/>
      <c r="Y96" s="5"/>
      <c r="Z96" s="5"/>
      <c r="AA96" s="112"/>
      <c r="AB96" s="5"/>
      <c r="AC96" s="5"/>
    </row>
    <row r="97" ht="18.0" customHeight="1">
      <c r="A97" s="109"/>
      <c r="B97" s="110"/>
      <c r="C97" s="111"/>
      <c r="D97" s="112"/>
      <c r="E97" s="113"/>
      <c r="F97" s="114"/>
      <c r="G97" s="114"/>
      <c r="H97" s="113"/>
      <c r="I97" s="114"/>
      <c r="J97" s="114"/>
      <c r="K97" s="114"/>
      <c r="L97" s="110"/>
      <c r="M97" s="110"/>
      <c r="N97" s="110"/>
      <c r="O97" s="110"/>
      <c r="P97" s="110"/>
      <c r="Q97" s="110"/>
      <c r="R97" s="110"/>
      <c r="S97" s="110"/>
      <c r="T97" s="112"/>
      <c r="U97" s="5"/>
      <c r="V97" s="5"/>
      <c r="W97" s="5"/>
      <c r="X97" s="5"/>
      <c r="Y97" s="5"/>
      <c r="Z97" s="5"/>
      <c r="AA97" s="112"/>
      <c r="AB97" s="5"/>
      <c r="AC97" s="5"/>
    </row>
    <row r="98" ht="18.0" customHeight="1">
      <c r="A98" s="109"/>
      <c r="B98" s="110"/>
      <c r="C98" s="111"/>
      <c r="D98" s="112"/>
      <c r="E98" s="113"/>
      <c r="F98" s="114"/>
      <c r="G98" s="114"/>
      <c r="H98" s="113"/>
      <c r="I98" s="114"/>
      <c r="J98" s="114"/>
      <c r="K98" s="114"/>
      <c r="L98" s="110"/>
      <c r="M98" s="110"/>
      <c r="N98" s="110"/>
      <c r="O98" s="110"/>
      <c r="P98" s="110"/>
      <c r="Q98" s="110"/>
      <c r="R98" s="110"/>
      <c r="S98" s="110"/>
      <c r="T98" s="112"/>
      <c r="U98" s="5"/>
      <c r="V98" s="5"/>
      <c r="W98" s="5"/>
      <c r="X98" s="5"/>
      <c r="Y98" s="5"/>
      <c r="Z98" s="5"/>
      <c r="AA98" s="112"/>
      <c r="AB98" s="5"/>
      <c r="AC98" s="5"/>
    </row>
    <row r="99" ht="18.0" customHeight="1">
      <c r="A99" s="109"/>
      <c r="B99" s="110"/>
      <c r="C99" s="111"/>
      <c r="D99" s="112"/>
      <c r="E99" s="113"/>
      <c r="F99" s="114"/>
      <c r="G99" s="114"/>
      <c r="H99" s="113"/>
      <c r="I99" s="114"/>
      <c r="J99" s="114"/>
      <c r="K99" s="114"/>
      <c r="L99" s="110"/>
      <c r="M99" s="110"/>
      <c r="N99" s="110"/>
      <c r="O99" s="110"/>
      <c r="P99" s="110"/>
      <c r="Q99" s="110"/>
      <c r="R99" s="110"/>
      <c r="S99" s="110"/>
      <c r="T99" s="112"/>
      <c r="U99" s="5"/>
      <c r="V99" s="5"/>
      <c r="W99" s="5"/>
      <c r="X99" s="5"/>
      <c r="Y99" s="5"/>
      <c r="Z99" s="5"/>
      <c r="AA99" s="112"/>
      <c r="AB99" s="5"/>
      <c r="AC99" s="5"/>
    </row>
    <row r="100" ht="18.0" customHeight="1">
      <c r="A100" s="109"/>
      <c r="B100" s="110"/>
      <c r="C100" s="111"/>
      <c r="D100" s="112"/>
      <c r="E100" s="113"/>
      <c r="F100" s="114"/>
      <c r="G100" s="114"/>
      <c r="H100" s="113"/>
      <c r="I100" s="114"/>
      <c r="J100" s="114"/>
      <c r="K100" s="114"/>
      <c r="L100" s="110"/>
      <c r="M100" s="110"/>
      <c r="N100" s="110"/>
      <c r="O100" s="110"/>
      <c r="P100" s="110"/>
      <c r="Q100" s="110"/>
      <c r="R100" s="110"/>
      <c r="S100" s="110"/>
      <c r="T100" s="112"/>
      <c r="U100" s="5"/>
      <c r="V100" s="5"/>
      <c r="W100" s="5"/>
      <c r="X100" s="5"/>
      <c r="Y100" s="5"/>
      <c r="Z100" s="5"/>
      <c r="AA100" s="112"/>
      <c r="AB100" s="5"/>
      <c r="AC100" s="5"/>
    </row>
    <row r="101" ht="18.0" customHeight="1">
      <c r="A101" s="109"/>
      <c r="B101" s="110"/>
      <c r="C101" s="111"/>
      <c r="D101" s="112"/>
      <c r="E101" s="113"/>
      <c r="F101" s="114"/>
      <c r="G101" s="114"/>
      <c r="H101" s="113"/>
      <c r="I101" s="114"/>
      <c r="J101" s="114"/>
      <c r="K101" s="114"/>
      <c r="L101" s="110"/>
      <c r="M101" s="110"/>
      <c r="N101" s="110"/>
      <c r="O101" s="110"/>
      <c r="P101" s="110"/>
      <c r="Q101" s="110"/>
      <c r="R101" s="110"/>
      <c r="S101" s="110"/>
      <c r="T101" s="112"/>
      <c r="U101" s="5"/>
      <c r="V101" s="5"/>
      <c r="W101" s="5"/>
      <c r="X101" s="5"/>
      <c r="Y101" s="5"/>
      <c r="Z101" s="5"/>
      <c r="AA101" s="112"/>
      <c r="AB101" s="5"/>
      <c r="AC101" s="5"/>
    </row>
    <row r="102" ht="18.0" customHeight="1">
      <c r="A102" s="109"/>
      <c r="B102" s="110"/>
      <c r="C102" s="111"/>
      <c r="D102" s="112"/>
      <c r="E102" s="113"/>
      <c r="F102" s="114"/>
      <c r="G102" s="114"/>
      <c r="H102" s="113"/>
      <c r="I102" s="114"/>
      <c r="J102" s="114"/>
      <c r="K102" s="114"/>
      <c r="L102" s="110"/>
      <c r="M102" s="110"/>
      <c r="N102" s="110"/>
      <c r="O102" s="110"/>
      <c r="P102" s="110"/>
      <c r="Q102" s="110"/>
      <c r="R102" s="110"/>
      <c r="S102" s="110"/>
      <c r="T102" s="112"/>
      <c r="U102" s="5"/>
      <c r="V102" s="5"/>
      <c r="W102" s="5"/>
      <c r="X102" s="5"/>
      <c r="Y102" s="5"/>
      <c r="Z102" s="5"/>
      <c r="AA102" s="112"/>
      <c r="AB102" s="5"/>
      <c r="AC102" s="5"/>
    </row>
    <row r="103" ht="18.0" customHeight="1">
      <c r="A103" s="109"/>
      <c r="B103" s="110"/>
      <c r="C103" s="111"/>
      <c r="D103" s="112"/>
      <c r="E103" s="113"/>
      <c r="F103" s="114"/>
      <c r="G103" s="114"/>
      <c r="H103" s="113"/>
      <c r="I103" s="114"/>
      <c r="J103" s="114"/>
      <c r="K103" s="114"/>
      <c r="L103" s="110"/>
      <c r="M103" s="110"/>
      <c r="N103" s="110"/>
      <c r="O103" s="110"/>
      <c r="P103" s="110"/>
      <c r="Q103" s="110"/>
      <c r="R103" s="110"/>
      <c r="S103" s="110"/>
      <c r="T103" s="112"/>
      <c r="U103" s="5"/>
      <c r="V103" s="5"/>
      <c r="W103" s="5"/>
      <c r="X103" s="5"/>
      <c r="Y103" s="5"/>
      <c r="Z103" s="5"/>
      <c r="AA103" s="112"/>
      <c r="AB103" s="5"/>
      <c r="AC103" s="5"/>
    </row>
    <row r="104" ht="18.0" customHeight="1">
      <c r="A104" s="109"/>
      <c r="B104" s="110"/>
      <c r="C104" s="111"/>
      <c r="D104" s="112"/>
      <c r="E104" s="113"/>
      <c r="F104" s="114"/>
      <c r="G104" s="114"/>
      <c r="H104" s="113"/>
      <c r="I104" s="114"/>
      <c r="J104" s="114"/>
      <c r="K104" s="114"/>
      <c r="L104" s="110"/>
      <c r="M104" s="110"/>
      <c r="N104" s="110"/>
      <c r="O104" s="110"/>
      <c r="P104" s="110"/>
      <c r="Q104" s="110"/>
      <c r="R104" s="110"/>
      <c r="S104" s="110"/>
      <c r="T104" s="112"/>
      <c r="U104" s="5"/>
      <c r="V104" s="5"/>
      <c r="W104" s="5"/>
      <c r="X104" s="5"/>
      <c r="Y104" s="5"/>
      <c r="Z104" s="5"/>
      <c r="AA104" s="112"/>
      <c r="AB104" s="5"/>
      <c r="AC104" s="5"/>
    </row>
    <row r="105" ht="18.0" customHeight="1">
      <c r="A105" s="109"/>
      <c r="B105" s="110"/>
      <c r="C105" s="111"/>
      <c r="D105" s="112"/>
      <c r="E105" s="113"/>
      <c r="F105" s="114"/>
      <c r="G105" s="114"/>
      <c r="H105" s="113"/>
      <c r="I105" s="114"/>
      <c r="J105" s="114"/>
      <c r="K105" s="114"/>
      <c r="L105" s="110"/>
      <c r="M105" s="110"/>
      <c r="N105" s="110"/>
      <c r="O105" s="110"/>
      <c r="P105" s="110"/>
      <c r="Q105" s="110"/>
      <c r="R105" s="110"/>
      <c r="S105" s="110"/>
      <c r="T105" s="112"/>
      <c r="U105" s="5"/>
      <c r="V105" s="5"/>
      <c r="W105" s="5"/>
      <c r="X105" s="5"/>
      <c r="Y105" s="5"/>
      <c r="Z105" s="5"/>
      <c r="AA105" s="112"/>
      <c r="AB105" s="5"/>
      <c r="AC105" s="5"/>
    </row>
    <row r="106" ht="18.0" customHeight="1">
      <c r="A106" s="109"/>
      <c r="B106" s="110"/>
      <c r="C106" s="111"/>
      <c r="D106" s="112"/>
      <c r="E106" s="113"/>
      <c r="F106" s="114"/>
      <c r="G106" s="114"/>
      <c r="H106" s="113"/>
      <c r="I106" s="114"/>
      <c r="J106" s="114"/>
      <c r="K106" s="114"/>
      <c r="L106" s="110"/>
      <c r="M106" s="110"/>
      <c r="N106" s="110"/>
      <c r="O106" s="110"/>
      <c r="P106" s="110"/>
      <c r="Q106" s="110"/>
      <c r="R106" s="110"/>
      <c r="S106" s="110"/>
      <c r="T106" s="112"/>
      <c r="U106" s="5"/>
      <c r="V106" s="5"/>
      <c r="W106" s="5"/>
      <c r="X106" s="5"/>
      <c r="Y106" s="5"/>
      <c r="Z106" s="5"/>
      <c r="AA106" s="112"/>
      <c r="AB106" s="5"/>
      <c r="AC106" s="5"/>
    </row>
    <row r="107" ht="18.0" customHeight="1">
      <c r="A107" s="109"/>
      <c r="B107" s="110"/>
      <c r="C107" s="111"/>
      <c r="D107" s="112"/>
      <c r="E107" s="113"/>
      <c r="F107" s="114"/>
      <c r="G107" s="114"/>
      <c r="H107" s="113"/>
      <c r="I107" s="114"/>
      <c r="J107" s="114"/>
      <c r="K107" s="114"/>
      <c r="L107" s="110"/>
      <c r="M107" s="110"/>
      <c r="N107" s="110"/>
      <c r="O107" s="110"/>
      <c r="P107" s="110"/>
      <c r="Q107" s="110"/>
      <c r="R107" s="110"/>
      <c r="S107" s="110"/>
      <c r="T107" s="112"/>
      <c r="U107" s="5"/>
      <c r="V107" s="5"/>
      <c r="W107" s="5"/>
      <c r="X107" s="5"/>
      <c r="Y107" s="5"/>
      <c r="Z107" s="5"/>
      <c r="AA107" s="112"/>
      <c r="AB107" s="5"/>
      <c r="AC107" s="5"/>
    </row>
    <row r="108" ht="18.0" customHeight="1">
      <c r="A108" s="109"/>
      <c r="B108" s="110"/>
      <c r="C108" s="111"/>
      <c r="D108" s="112"/>
      <c r="E108" s="113"/>
      <c r="F108" s="114"/>
      <c r="G108" s="114"/>
      <c r="H108" s="113"/>
      <c r="I108" s="114"/>
      <c r="J108" s="114"/>
      <c r="K108" s="114"/>
      <c r="L108" s="110"/>
      <c r="M108" s="110"/>
      <c r="N108" s="110"/>
      <c r="O108" s="110"/>
      <c r="P108" s="110"/>
      <c r="Q108" s="110"/>
      <c r="R108" s="110"/>
      <c r="S108" s="110"/>
      <c r="T108" s="112"/>
      <c r="U108" s="5"/>
      <c r="V108" s="5"/>
      <c r="W108" s="5"/>
      <c r="X108" s="5"/>
      <c r="Y108" s="5"/>
      <c r="Z108" s="5"/>
      <c r="AA108" s="112"/>
      <c r="AB108" s="5"/>
      <c r="AC108" s="5"/>
    </row>
    <row r="109" ht="18.0" customHeight="1">
      <c r="A109" s="109"/>
      <c r="B109" s="110"/>
      <c r="C109" s="111"/>
      <c r="D109" s="112"/>
      <c r="E109" s="113"/>
      <c r="F109" s="114"/>
      <c r="G109" s="114"/>
      <c r="H109" s="113"/>
      <c r="I109" s="114"/>
      <c r="J109" s="114"/>
      <c r="K109" s="114"/>
      <c r="L109" s="110"/>
      <c r="M109" s="110"/>
      <c r="N109" s="110"/>
      <c r="O109" s="110"/>
      <c r="P109" s="110"/>
      <c r="Q109" s="110"/>
      <c r="R109" s="110"/>
      <c r="S109" s="110"/>
      <c r="T109" s="112"/>
      <c r="U109" s="5"/>
      <c r="V109" s="5"/>
      <c r="W109" s="5"/>
      <c r="X109" s="5"/>
      <c r="Y109" s="5"/>
      <c r="Z109" s="5"/>
      <c r="AA109" s="112"/>
      <c r="AB109" s="5"/>
      <c r="AC109" s="5"/>
    </row>
    <row r="110" ht="18.0" customHeight="1">
      <c r="A110" s="109"/>
      <c r="B110" s="110"/>
      <c r="C110" s="111"/>
      <c r="D110" s="112"/>
      <c r="E110" s="113"/>
      <c r="F110" s="114"/>
      <c r="G110" s="114"/>
      <c r="H110" s="113"/>
      <c r="I110" s="114"/>
      <c r="J110" s="114"/>
      <c r="K110" s="114"/>
      <c r="L110" s="110"/>
      <c r="M110" s="110"/>
      <c r="N110" s="110"/>
      <c r="O110" s="110"/>
      <c r="P110" s="110"/>
      <c r="Q110" s="110"/>
      <c r="R110" s="110"/>
      <c r="S110" s="110"/>
      <c r="T110" s="112"/>
      <c r="U110" s="5"/>
      <c r="V110" s="5"/>
      <c r="W110" s="5"/>
      <c r="X110" s="5"/>
      <c r="Y110" s="5"/>
      <c r="Z110" s="5"/>
      <c r="AA110" s="112"/>
      <c r="AB110" s="5"/>
      <c r="AC110" s="5"/>
    </row>
    <row r="111" ht="18.0" customHeight="1">
      <c r="A111" s="109"/>
      <c r="B111" s="110"/>
      <c r="C111" s="111"/>
      <c r="D111" s="112"/>
      <c r="E111" s="113"/>
      <c r="F111" s="114"/>
      <c r="G111" s="114"/>
      <c r="H111" s="113"/>
      <c r="I111" s="114"/>
      <c r="J111" s="114"/>
      <c r="K111" s="114"/>
      <c r="L111" s="110"/>
      <c r="M111" s="110"/>
      <c r="N111" s="110"/>
      <c r="O111" s="110"/>
      <c r="P111" s="110"/>
      <c r="Q111" s="110"/>
      <c r="R111" s="110"/>
      <c r="S111" s="110"/>
      <c r="T111" s="112"/>
      <c r="U111" s="5"/>
      <c r="V111" s="5"/>
      <c r="W111" s="5"/>
      <c r="X111" s="5"/>
      <c r="Y111" s="5"/>
      <c r="Z111" s="5"/>
      <c r="AA111" s="112"/>
      <c r="AB111" s="5"/>
      <c r="AC111" s="5"/>
    </row>
    <row r="112" ht="18.0" customHeight="1">
      <c r="A112" s="109"/>
      <c r="B112" s="110"/>
      <c r="C112" s="111"/>
      <c r="D112" s="112"/>
      <c r="E112" s="113"/>
      <c r="F112" s="114"/>
      <c r="G112" s="114"/>
      <c r="H112" s="113"/>
      <c r="I112" s="114"/>
      <c r="J112" s="114"/>
      <c r="K112" s="114"/>
      <c r="L112" s="110"/>
      <c r="M112" s="110"/>
      <c r="N112" s="110"/>
      <c r="O112" s="110"/>
      <c r="P112" s="110"/>
      <c r="Q112" s="110"/>
      <c r="R112" s="110"/>
      <c r="S112" s="110"/>
      <c r="T112" s="112"/>
      <c r="U112" s="5"/>
      <c r="V112" s="5"/>
      <c r="W112" s="5"/>
      <c r="X112" s="5"/>
      <c r="Y112" s="5"/>
      <c r="Z112" s="5"/>
      <c r="AA112" s="112"/>
      <c r="AB112" s="5"/>
      <c r="AC112" s="5"/>
    </row>
    <row r="113" ht="18.0" customHeight="1">
      <c r="A113" s="109"/>
      <c r="B113" s="110"/>
      <c r="C113" s="111"/>
      <c r="D113" s="112"/>
      <c r="E113" s="113"/>
      <c r="F113" s="114"/>
      <c r="G113" s="114"/>
      <c r="H113" s="113"/>
      <c r="I113" s="114"/>
      <c r="J113" s="114"/>
      <c r="K113" s="114"/>
      <c r="L113" s="110"/>
      <c r="M113" s="110"/>
      <c r="N113" s="110"/>
      <c r="O113" s="110"/>
      <c r="P113" s="110"/>
      <c r="Q113" s="110"/>
      <c r="R113" s="110"/>
      <c r="S113" s="110"/>
      <c r="T113" s="112"/>
      <c r="U113" s="5"/>
      <c r="V113" s="5"/>
      <c r="W113" s="5"/>
      <c r="X113" s="5"/>
      <c r="Y113" s="5"/>
      <c r="Z113" s="5"/>
      <c r="AA113" s="112"/>
      <c r="AB113" s="5"/>
      <c r="AC113" s="5"/>
    </row>
    <row r="114" ht="18.0" customHeight="1">
      <c r="A114" s="109"/>
      <c r="B114" s="110"/>
      <c r="C114" s="111"/>
      <c r="D114" s="112"/>
      <c r="E114" s="113"/>
      <c r="F114" s="114"/>
      <c r="G114" s="114"/>
      <c r="H114" s="113"/>
      <c r="I114" s="114"/>
      <c r="J114" s="114"/>
      <c r="K114" s="114"/>
      <c r="L114" s="110"/>
      <c r="M114" s="110"/>
      <c r="N114" s="110"/>
      <c r="O114" s="110"/>
      <c r="P114" s="110"/>
      <c r="Q114" s="110"/>
      <c r="R114" s="110"/>
      <c r="S114" s="110"/>
      <c r="T114" s="112"/>
      <c r="U114" s="5"/>
      <c r="V114" s="5"/>
      <c r="W114" s="5"/>
      <c r="X114" s="5"/>
      <c r="Y114" s="5"/>
      <c r="Z114" s="5"/>
      <c r="AA114" s="112"/>
      <c r="AB114" s="5"/>
      <c r="AC114" s="5"/>
    </row>
    <row r="115" ht="18.0" customHeight="1">
      <c r="A115" s="109"/>
      <c r="B115" s="110"/>
      <c r="C115" s="111"/>
      <c r="D115" s="112"/>
      <c r="E115" s="113"/>
      <c r="F115" s="114"/>
      <c r="G115" s="114"/>
      <c r="H115" s="113"/>
      <c r="I115" s="114"/>
      <c r="J115" s="114"/>
      <c r="K115" s="114"/>
      <c r="L115" s="110"/>
      <c r="M115" s="110"/>
      <c r="N115" s="110"/>
      <c r="O115" s="110"/>
      <c r="P115" s="110"/>
      <c r="Q115" s="110"/>
      <c r="R115" s="110"/>
      <c r="S115" s="110"/>
      <c r="T115" s="112"/>
      <c r="U115" s="5"/>
      <c r="V115" s="5"/>
      <c r="W115" s="5"/>
      <c r="X115" s="5"/>
      <c r="Y115" s="5"/>
      <c r="Z115" s="5"/>
      <c r="AA115" s="112"/>
      <c r="AB115" s="5"/>
      <c r="AC115" s="5"/>
    </row>
    <row r="116" ht="18.0" customHeight="1">
      <c r="A116" s="109"/>
      <c r="B116" s="110"/>
      <c r="C116" s="111"/>
      <c r="D116" s="112"/>
      <c r="E116" s="113"/>
      <c r="F116" s="114"/>
      <c r="G116" s="114"/>
      <c r="H116" s="113"/>
      <c r="I116" s="114"/>
      <c r="J116" s="114"/>
      <c r="K116" s="114"/>
      <c r="L116" s="110"/>
      <c r="M116" s="110"/>
      <c r="N116" s="110"/>
      <c r="O116" s="110"/>
      <c r="P116" s="110"/>
      <c r="Q116" s="110"/>
      <c r="R116" s="110"/>
      <c r="S116" s="110"/>
      <c r="T116" s="112"/>
      <c r="U116" s="5"/>
      <c r="V116" s="5"/>
      <c r="W116" s="5"/>
      <c r="X116" s="5"/>
      <c r="Y116" s="5"/>
      <c r="Z116" s="5"/>
      <c r="AA116" s="112"/>
      <c r="AB116" s="5"/>
      <c r="AC116" s="5"/>
    </row>
    <row r="117" ht="18.0" customHeight="1">
      <c r="A117" s="109"/>
      <c r="B117" s="110"/>
      <c r="C117" s="111"/>
      <c r="D117" s="112"/>
      <c r="E117" s="113"/>
      <c r="F117" s="114"/>
      <c r="G117" s="114"/>
      <c r="H117" s="113"/>
      <c r="I117" s="114"/>
      <c r="J117" s="114"/>
      <c r="K117" s="114"/>
      <c r="L117" s="110"/>
      <c r="M117" s="110"/>
      <c r="N117" s="110"/>
      <c r="O117" s="110"/>
      <c r="P117" s="110"/>
      <c r="Q117" s="110"/>
      <c r="R117" s="110"/>
      <c r="S117" s="110"/>
      <c r="T117" s="112"/>
      <c r="U117" s="5"/>
      <c r="V117" s="5"/>
      <c r="W117" s="5"/>
      <c r="X117" s="5"/>
      <c r="Y117" s="5"/>
      <c r="Z117" s="5"/>
      <c r="AA117" s="112"/>
      <c r="AB117" s="5"/>
      <c r="AC117" s="5"/>
    </row>
    <row r="118" ht="18.0" customHeight="1">
      <c r="A118" s="109"/>
      <c r="B118" s="110"/>
      <c r="C118" s="111"/>
      <c r="D118" s="112"/>
      <c r="E118" s="113"/>
      <c r="F118" s="114"/>
      <c r="G118" s="114"/>
      <c r="H118" s="113"/>
      <c r="I118" s="114"/>
      <c r="J118" s="114"/>
      <c r="K118" s="114"/>
      <c r="L118" s="110"/>
      <c r="M118" s="110"/>
      <c r="N118" s="110"/>
      <c r="O118" s="110"/>
      <c r="P118" s="110"/>
      <c r="Q118" s="110"/>
      <c r="R118" s="110"/>
      <c r="S118" s="110"/>
      <c r="T118" s="112"/>
      <c r="U118" s="5"/>
      <c r="V118" s="5"/>
      <c r="W118" s="5"/>
      <c r="X118" s="5"/>
      <c r="Y118" s="5"/>
      <c r="Z118" s="5"/>
      <c r="AA118" s="112"/>
      <c r="AB118" s="5"/>
      <c r="AC118" s="5"/>
    </row>
    <row r="119" ht="18.0" customHeight="1">
      <c r="A119" s="109"/>
      <c r="B119" s="110"/>
      <c r="C119" s="111"/>
      <c r="D119" s="112"/>
      <c r="E119" s="113"/>
      <c r="F119" s="114"/>
      <c r="G119" s="114"/>
      <c r="H119" s="113"/>
      <c r="I119" s="114"/>
      <c r="J119" s="114"/>
      <c r="K119" s="114"/>
      <c r="L119" s="110"/>
      <c r="M119" s="110"/>
      <c r="N119" s="110"/>
      <c r="O119" s="110"/>
      <c r="P119" s="110"/>
      <c r="Q119" s="110"/>
      <c r="R119" s="110"/>
      <c r="S119" s="110"/>
      <c r="T119" s="112"/>
      <c r="U119" s="5"/>
      <c r="V119" s="5"/>
      <c r="W119" s="5"/>
      <c r="X119" s="5"/>
      <c r="Y119" s="5"/>
      <c r="Z119" s="5"/>
      <c r="AA119" s="112"/>
      <c r="AB119" s="5"/>
      <c r="AC119" s="5"/>
    </row>
    <row r="120" ht="18.0" customHeight="1">
      <c r="A120" s="109"/>
      <c r="B120" s="110"/>
      <c r="C120" s="111"/>
      <c r="D120" s="112"/>
      <c r="E120" s="113"/>
      <c r="F120" s="114"/>
      <c r="G120" s="114"/>
      <c r="H120" s="113"/>
      <c r="I120" s="114"/>
      <c r="J120" s="114"/>
      <c r="K120" s="114"/>
      <c r="L120" s="110"/>
      <c r="M120" s="110"/>
      <c r="N120" s="110"/>
      <c r="O120" s="110"/>
      <c r="P120" s="110"/>
      <c r="Q120" s="110"/>
      <c r="R120" s="110"/>
      <c r="S120" s="110"/>
      <c r="T120" s="112"/>
      <c r="U120" s="5"/>
      <c r="V120" s="5"/>
      <c r="W120" s="5"/>
      <c r="X120" s="5"/>
      <c r="Y120" s="5"/>
      <c r="Z120" s="5"/>
      <c r="AA120" s="112"/>
      <c r="AB120" s="5"/>
      <c r="AC120" s="5"/>
    </row>
    <row r="121" ht="18.0" customHeight="1">
      <c r="A121" s="109"/>
      <c r="B121" s="110"/>
      <c r="C121" s="111"/>
      <c r="D121" s="112"/>
      <c r="E121" s="113"/>
      <c r="F121" s="114"/>
      <c r="G121" s="114"/>
      <c r="H121" s="113"/>
      <c r="I121" s="114"/>
      <c r="J121" s="114"/>
      <c r="K121" s="114"/>
      <c r="L121" s="110"/>
      <c r="M121" s="110"/>
      <c r="N121" s="110"/>
      <c r="O121" s="110"/>
      <c r="P121" s="110"/>
      <c r="Q121" s="110"/>
      <c r="R121" s="110"/>
      <c r="S121" s="110"/>
      <c r="T121" s="112"/>
      <c r="U121" s="5"/>
      <c r="V121" s="5"/>
      <c r="W121" s="5"/>
      <c r="X121" s="5"/>
      <c r="Y121" s="5"/>
      <c r="Z121" s="5"/>
      <c r="AA121" s="112"/>
      <c r="AB121" s="5"/>
      <c r="AC121" s="5"/>
    </row>
    <row r="122" ht="18.0" customHeight="1">
      <c r="A122" s="109"/>
      <c r="B122" s="110"/>
      <c r="C122" s="111"/>
      <c r="D122" s="112"/>
      <c r="E122" s="113"/>
      <c r="F122" s="114"/>
      <c r="G122" s="114"/>
      <c r="H122" s="113"/>
      <c r="I122" s="114"/>
      <c r="J122" s="114"/>
      <c r="K122" s="114"/>
      <c r="L122" s="110"/>
      <c r="M122" s="110"/>
      <c r="N122" s="110"/>
      <c r="O122" s="110"/>
      <c r="P122" s="110"/>
      <c r="Q122" s="110"/>
      <c r="R122" s="110"/>
      <c r="S122" s="110"/>
      <c r="T122" s="112"/>
      <c r="U122" s="5"/>
      <c r="V122" s="5"/>
      <c r="W122" s="5"/>
      <c r="X122" s="5"/>
      <c r="Y122" s="5"/>
      <c r="Z122" s="5"/>
      <c r="AA122" s="112"/>
      <c r="AB122" s="5"/>
      <c r="AC122" s="5"/>
    </row>
    <row r="123" ht="18.0" customHeight="1">
      <c r="A123" s="109"/>
      <c r="B123" s="110"/>
      <c r="C123" s="111"/>
      <c r="D123" s="112"/>
      <c r="E123" s="113"/>
      <c r="F123" s="114"/>
      <c r="G123" s="114"/>
      <c r="H123" s="113"/>
      <c r="I123" s="114"/>
      <c r="J123" s="114"/>
      <c r="K123" s="114"/>
      <c r="L123" s="110"/>
      <c r="M123" s="110"/>
      <c r="N123" s="110"/>
      <c r="O123" s="110"/>
      <c r="P123" s="110"/>
      <c r="Q123" s="110"/>
      <c r="R123" s="110"/>
      <c r="S123" s="110"/>
      <c r="T123" s="112"/>
      <c r="U123" s="5"/>
      <c r="V123" s="5"/>
      <c r="W123" s="5"/>
      <c r="X123" s="5"/>
      <c r="Y123" s="5"/>
      <c r="Z123" s="5"/>
      <c r="AA123" s="112"/>
      <c r="AB123" s="5"/>
      <c r="AC123" s="5"/>
    </row>
    <row r="124" ht="18.0" customHeight="1">
      <c r="A124" s="109"/>
      <c r="B124" s="110"/>
      <c r="C124" s="111"/>
      <c r="D124" s="112"/>
      <c r="E124" s="113"/>
      <c r="F124" s="114"/>
      <c r="G124" s="114"/>
      <c r="H124" s="113"/>
      <c r="I124" s="114"/>
      <c r="J124" s="114"/>
      <c r="K124" s="114"/>
      <c r="L124" s="110"/>
      <c r="M124" s="110"/>
      <c r="N124" s="110"/>
      <c r="O124" s="110"/>
      <c r="P124" s="110"/>
      <c r="Q124" s="110"/>
      <c r="R124" s="110"/>
      <c r="S124" s="110"/>
      <c r="T124" s="112"/>
      <c r="U124" s="5"/>
      <c r="V124" s="5"/>
      <c r="W124" s="5"/>
      <c r="X124" s="5"/>
      <c r="Y124" s="5"/>
      <c r="Z124" s="5"/>
      <c r="AA124" s="112"/>
      <c r="AB124" s="5"/>
      <c r="AC124" s="5"/>
    </row>
    <row r="125" ht="18.0" customHeight="1">
      <c r="A125" s="109"/>
      <c r="B125" s="110"/>
      <c r="C125" s="111"/>
      <c r="D125" s="112"/>
      <c r="E125" s="113"/>
      <c r="F125" s="114"/>
      <c r="G125" s="114"/>
      <c r="H125" s="113"/>
      <c r="I125" s="114"/>
      <c r="J125" s="114"/>
      <c r="K125" s="114"/>
      <c r="L125" s="110"/>
      <c r="M125" s="110"/>
      <c r="N125" s="110"/>
      <c r="O125" s="110"/>
      <c r="P125" s="110"/>
      <c r="Q125" s="110"/>
      <c r="R125" s="110"/>
      <c r="S125" s="110"/>
      <c r="T125" s="112"/>
      <c r="U125" s="5"/>
      <c r="V125" s="5"/>
      <c r="W125" s="5"/>
      <c r="X125" s="5"/>
      <c r="Y125" s="5"/>
      <c r="Z125" s="5"/>
      <c r="AA125" s="112"/>
      <c r="AB125" s="5"/>
      <c r="AC125" s="5"/>
    </row>
    <row r="126" ht="18.0" customHeight="1">
      <c r="A126" s="109"/>
      <c r="B126" s="110"/>
      <c r="C126" s="111"/>
      <c r="D126" s="112"/>
      <c r="E126" s="113"/>
      <c r="F126" s="114"/>
      <c r="G126" s="114"/>
      <c r="H126" s="113"/>
      <c r="I126" s="114"/>
      <c r="J126" s="114"/>
      <c r="K126" s="114"/>
      <c r="L126" s="110"/>
      <c r="M126" s="110"/>
      <c r="N126" s="110"/>
      <c r="O126" s="110"/>
      <c r="P126" s="110"/>
      <c r="Q126" s="110"/>
      <c r="R126" s="110"/>
      <c r="S126" s="110"/>
      <c r="T126" s="112"/>
      <c r="U126" s="5"/>
      <c r="V126" s="5"/>
      <c r="W126" s="5"/>
      <c r="X126" s="5"/>
      <c r="Y126" s="5"/>
      <c r="Z126" s="5"/>
      <c r="AA126" s="112"/>
      <c r="AB126" s="5"/>
      <c r="AC126" s="5"/>
    </row>
    <row r="127" ht="18.0" customHeight="1">
      <c r="A127" s="109"/>
      <c r="B127" s="110"/>
      <c r="C127" s="111"/>
      <c r="D127" s="112"/>
      <c r="E127" s="113"/>
      <c r="F127" s="114"/>
      <c r="G127" s="114"/>
      <c r="H127" s="113"/>
      <c r="I127" s="114"/>
      <c r="J127" s="114"/>
      <c r="K127" s="114"/>
      <c r="L127" s="110"/>
      <c r="M127" s="110"/>
      <c r="N127" s="110"/>
      <c r="O127" s="110"/>
      <c r="P127" s="110"/>
      <c r="Q127" s="110"/>
      <c r="R127" s="110"/>
      <c r="S127" s="110"/>
      <c r="T127" s="112"/>
      <c r="U127" s="5"/>
      <c r="V127" s="5"/>
      <c r="W127" s="5"/>
      <c r="X127" s="5"/>
      <c r="Y127" s="5"/>
      <c r="Z127" s="5"/>
      <c r="AA127" s="112"/>
      <c r="AB127" s="5"/>
      <c r="AC127" s="5"/>
    </row>
    <row r="128" ht="18.0" customHeight="1">
      <c r="A128" s="109"/>
      <c r="B128" s="110"/>
      <c r="C128" s="111"/>
      <c r="D128" s="112"/>
      <c r="E128" s="113"/>
      <c r="F128" s="114"/>
      <c r="G128" s="114"/>
      <c r="H128" s="113"/>
      <c r="I128" s="114"/>
      <c r="J128" s="114"/>
      <c r="K128" s="114"/>
      <c r="L128" s="110"/>
      <c r="M128" s="110"/>
      <c r="N128" s="110"/>
      <c r="O128" s="110"/>
      <c r="P128" s="110"/>
      <c r="Q128" s="110"/>
      <c r="R128" s="110"/>
      <c r="S128" s="110"/>
      <c r="T128" s="112"/>
      <c r="U128" s="5"/>
      <c r="V128" s="5"/>
      <c r="W128" s="5"/>
      <c r="X128" s="5"/>
      <c r="Y128" s="5"/>
      <c r="Z128" s="5"/>
      <c r="AA128" s="112"/>
      <c r="AB128" s="5"/>
      <c r="AC128" s="5"/>
    </row>
    <row r="129" ht="18.0" customHeight="1">
      <c r="A129" s="109"/>
      <c r="B129" s="110"/>
      <c r="C129" s="111"/>
      <c r="D129" s="112"/>
      <c r="E129" s="113"/>
      <c r="F129" s="114"/>
      <c r="G129" s="114"/>
      <c r="H129" s="113"/>
      <c r="I129" s="114"/>
      <c r="J129" s="114"/>
      <c r="K129" s="114"/>
      <c r="L129" s="110"/>
      <c r="M129" s="110"/>
      <c r="N129" s="110"/>
      <c r="O129" s="110"/>
      <c r="P129" s="110"/>
      <c r="Q129" s="110"/>
      <c r="R129" s="110"/>
      <c r="S129" s="110"/>
      <c r="T129" s="112"/>
      <c r="U129" s="5"/>
      <c r="V129" s="5"/>
      <c r="W129" s="5"/>
      <c r="X129" s="5"/>
      <c r="Y129" s="5"/>
      <c r="Z129" s="5"/>
      <c r="AA129" s="112"/>
      <c r="AB129" s="5"/>
      <c r="AC129" s="5"/>
    </row>
    <row r="130" ht="18.0" customHeight="1">
      <c r="A130" s="109"/>
      <c r="B130" s="110"/>
      <c r="C130" s="111"/>
      <c r="D130" s="112"/>
      <c r="E130" s="113"/>
      <c r="F130" s="114"/>
      <c r="G130" s="114"/>
      <c r="H130" s="113"/>
      <c r="I130" s="114"/>
      <c r="J130" s="114"/>
      <c r="K130" s="114"/>
      <c r="L130" s="110"/>
      <c r="M130" s="110"/>
      <c r="N130" s="110"/>
      <c r="O130" s="110"/>
      <c r="P130" s="110"/>
      <c r="Q130" s="110"/>
      <c r="R130" s="110"/>
      <c r="S130" s="110"/>
      <c r="T130" s="112"/>
      <c r="U130" s="5"/>
      <c r="V130" s="5"/>
      <c r="W130" s="5"/>
      <c r="X130" s="5"/>
      <c r="Y130" s="5"/>
      <c r="Z130" s="5"/>
      <c r="AA130" s="112"/>
      <c r="AB130" s="5"/>
      <c r="AC130" s="5"/>
    </row>
    <row r="131" ht="18.0" customHeight="1">
      <c r="A131" s="109"/>
      <c r="B131" s="110"/>
      <c r="C131" s="111"/>
      <c r="D131" s="112"/>
      <c r="E131" s="113"/>
      <c r="F131" s="114"/>
      <c r="G131" s="114"/>
      <c r="H131" s="113"/>
      <c r="I131" s="114"/>
      <c r="J131" s="114"/>
      <c r="K131" s="114"/>
      <c r="L131" s="110"/>
      <c r="M131" s="110"/>
      <c r="N131" s="110"/>
      <c r="O131" s="110"/>
      <c r="P131" s="110"/>
      <c r="Q131" s="110"/>
      <c r="R131" s="110"/>
      <c r="S131" s="110"/>
      <c r="T131" s="112"/>
      <c r="U131" s="5"/>
      <c r="V131" s="5"/>
      <c r="W131" s="5"/>
      <c r="X131" s="5"/>
      <c r="Y131" s="5"/>
      <c r="Z131" s="5"/>
      <c r="AA131" s="112"/>
      <c r="AB131" s="5"/>
      <c r="AC131" s="5"/>
    </row>
    <row r="132" ht="18.0" customHeight="1">
      <c r="A132" s="109"/>
      <c r="B132" s="110"/>
      <c r="C132" s="111"/>
      <c r="D132" s="112"/>
      <c r="E132" s="113"/>
      <c r="F132" s="114"/>
      <c r="G132" s="114"/>
      <c r="H132" s="113"/>
      <c r="I132" s="114"/>
      <c r="J132" s="114"/>
      <c r="K132" s="114"/>
      <c r="L132" s="110"/>
      <c r="M132" s="110"/>
      <c r="N132" s="110"/>
      <c r="O132" s="110"/>
      <c r="P132" s="110"/>
      <c r="Q132" s="110"/>
      <c r="R132" s="110"/>
      <c r="S132" s="110"/>
      <c r="T132" s="112"/>
      <c r="U132" s="5"/>
      <c r="V132" s="5"/>
      <c r="W132" s="5"/>
      <c r="X132" s="5"/>
      <c r="Y132" s="5"/>
      <c r="Z132" s="5"/>
      <c r="AA132" s="112"/>
      <c r="AB132" s="5"/>
      <c r="AC132" s="5"/>
    </row>
    <row r="133" ht="18.0" customHeight="1">
      <c r="A133" s="109"/>
      <c r="B133" s="110"/>
      <c r="C133" s="111"/>
      <c r="D133" s="112"/>
      <c r="E133" s="113"/>
      <c r="F133" s="114"/>
      <c r="G133" s="114"/>
      <c r="H133" s="113"/>
      <c r="I133" s="114"/>
      <c r="J133" s="114"/>
      <c r="K133" s="114"/>
      <c r="L133" s="110"/>
      <c r="M133" s="110"/>
      <c r="N133" s="110"/>
      <c r="O133" s="110"/>
      <c r="P133" s="110"/>
      <c r="Q133" s="110"/>
      <c r="R133" s="110"/>
      <c r="S133" s="110"/>
      <c r="T133" s="112"/>
      <c r="U133" s="5"/>
      <c r="V133" s="5"/>
      <c r="W133" s="5"/>
      <c r="X133" s="5"/>
      <c r="Y133" s="5"/>
      <c r="Z133" s="5"/>
      <c r="AA133" s="112"/>
      <c r="AB133" s="5"/>
      <c r="AC133" s="5"/>
    </row>
    <row r="134" ht="18.0" customHeight="1">
      <c r="A134" s="109"/>
      <c r="B134" s="110"/>
      <c r="C134" s="111"/>
      <c r="D134" s="112"/>
      <c r="E134" s="113"/>
      <c r="F134" s="114"/>
      <c r="G134" s="114"/>
      <c r="H134" s="113"/>
      <c r="I134" s="114"/>
      <c r="J134" s="114"/>
      <c r="K134" s="114"/>
      <c r="L134" s="110"/>
      <c r="M134" s="110"/>
      <c r="N134" s="110"/>
      <c r="O134" s="110"/>
      <c r="P134" s="110"/>
      <c r="Q134" s="110"/>
      <c r="R134" s="110"/>
      <c r="S134" s="110"/>
      <c r="T134" s="112"/>
      <c r="U134" s="5"/>
      <c r="V134" s="5"/>
      <c r="W134" s="5"/>
      <c r="X134" s="5"/>
      <c r="Y134" s="5"/>
      <c r="Z134" s="5"/>
      <c r="AA134" s="112"/>
      <c r="AB134" s="5"/>
      <c r="AC134" s="5"/>
    </row>
    <row r="135" ht="18.0" customHeight="1">
      <c r="A135" s="109"/>
      <c r="B135" s="110"/>
      <c r="C135" s="111"/>
      <c r="D135" s="112"/>
      <c r="E135" s="113"/>
      <c r="F135" s="114"/>
      <c r="G135" s="114"/>
      <c r="H135" s="113"/>
      <c r="I135" s="114"/>
      <c r="J135" s="114"/>
      <c r="K135" s="114"/>
      <c r="L135" s="110"/>
      <c r="M135" s="110"/>
      <c r="N135" s="110"/>
      <c r="O135" s="110"/>
      <c r="P135" s="110"/>
      <c r="Q135" s="110"/>
      <c r="R135" s="110"/>
      <c r="S135" s="110"/>
      <c r="T135" s="112"/>
      <c r="U135" s="5"/>
      <c r="V135" s="5"/>
      <c r="W135" s="5"/>
      <c r="X135" s="5"/>
      <c r="Y135" s="5"/>
      <c r="Z135" s="5"/>
      <c r="AA135" s="112"/>
      <c r="AB135" s="5"/>
      <c r="AC135" s="5"/>
    </row>
    <row r="136" ht="18.0" customHeight="1">
      <c r="A136" s="109"/>
      <c r="B136" s="110"/>
      <c r="C136" s="111"/>
      <c r="D136" s="112"/>
      <c r="E136" s="113"/>
      <c r="F136" s="114"/>
      <c r="G136" s="114"/>
      <c r="H136" s="113"/>
      <c r="I136" s="114"/>
      <c r="J136" s="114"/>
      <c r="K136" s="114"/>
      <c r="L136" s="110"/>
      <c r="M136" s="110"/>
      <c r="N136" s="110"/>
      <c r="O136" s="110"/>
      <c r="P136" s="110"/>
      <c r="Q136" s="110"/>
      <c r="R136" s="110"/>
      <c r="S136" s="110"/>
      <c r="T136" s="112"/>
      <c r="U136" s="5"/>
      <c r="V136" s="5"/>
      <c r="W136" s="5"/>
      <c r="X136" s="5"/>
      <c r="Y136" s="5"/>
      <c r="Z136" s="5"/>
      <c r="AA136" s="112"/>
      <c r="AB136" s="5"/>
      <c r="AC136" s="5"/>
    </row>
    <row r="137" ht="18.0" customHeight="1">
      <c r="A137" s="109"/>
      <c r="B137" s="110"/>
      <c r="C137" s="111"/>
      <c r="D137" s="112"/>
      <c r="E137" s="113"/>
      <c r="F137" s="114"/>
      <c r="G137" s="114"/>
      <c r="H137" s="113"/>
      <c r="I137" s="114"/>
      <c r="J137" s="114"/>
      <c r="K137" s="114"/>
      <c r="L137" s="110"/>
      <c r="M137" s="110"/>
      <c r="N137" s="110"/>
      <c r="O137" s="110"/>
      <c r="P137" s="110"/>
      <c r="Q137" s="110"/>
      <c r="R137" s="110"/>
      <c r="S137" s="110"/>
      <c r="T137" s="112"/>
      <c r="U137" s="5"/>
      <c r="V137" s="5"/>
      <c r="W137" s="5"/>
      <c r="X137" s="5"/>
      <c r="Y137" s="5"/>
      <c r="Z137" s="5"/>
      <c r="AA137" s="112"/>
      <c r="AB137" s="5"/>
      <c r="AC137" s="5"/>
    </row>
    <row r="138" ht="18.0" customHeight="1">
      <c r="A138" s="109"/>
      <c r="B138" s="110"/>
      <c r="C138" s="111"/>
      <c r="D138" s="112"/>
      <c r="E138" s="113"/>
      <c r="F138" s="114"/>
      <c r="G138" s="114"/>
      <c r="H138" s="113"/>
      <c r="I138" s="114"/>
      <c r="J138" s="114"/>
      <c r="K138" s="114"/>
      <c r="L138" s="110"/>
      <c r="M138" s="110"/>
      <c r="N138" s="110"/>
      <c r="O138" s="110"/>
      <c r="P138" s="110"/>
      <c r="Q138" s="110"/>
      <c r="R138" s="110"/>
      <c r="S138" s="110"/>
      <c r="T138" s="112"/>
      <c r="U138" s="5"/>
      <c r="V138" s="5"/>
      <c r="W138" s="5"/>
      <c r="X138" s="5"/>
      <c r="Y138" s="5"/>
      <c r="Z138" s="5"/>
      <c r="AA138" s="112"/>
      <c r="AB138" s="5"/>
      <c r="AC138" s="5"/>
    </row>
    <row r="139" ht="18.0" customHeight="1">
      <c r="A139" s="109"/>
      <c r="B139" s="110"/>
      <c r="C139" s="111"/>
      <c r="D139" s="112"/>
      <c r="E139" s="113"/>
      <c r="F139" s="114"/>
      <c r="G139" s="114"/>
      <c r="H139" s="113"/>
      <c r="I139" s="114"/>
      <c r="J139" s="114"/>
      <c r="K139" s="114"/>
      <c r="L139" s="110"/>
      <c r="M139" s="110"/>
      <c r="N139" s="110"/>
      <c r="O139" s="110"/>
      <c r="P139" s="110"/>
      <c r="Q139" s="110"/>
      <c r="R139" s="110"/>
      <c r="S139" s="110"/>
      <c r="T139" s="112"/>
      <c r="U139" s="5"/>
      <c r="V139" s="5"/>
      <c r="W139" s="5"/>
      <c r="X139" s="5"/>
      <c r="Y139" s="5"/>
      <c r="Z139" s="5"/>
      <c r="AA139" s="112"/>
      <c r="AB139" s="5"/>
      <c r="AC139" s="5"/>
    </row>
    <row r="140" ht="18.0" customHeight="1">
      <c r="A140" s="109"/>
      <c r="B140" s="110"/>
      <c r="C140" s="111"/>
      <c r="D140" s="112"/>
      <c r="E140" s="113"/>
      <c r="F140" s="114"/>
      <c r="G140" s="114"/>
      <c r="H140" s="113"/>
      <c r="I140" s="114"/>
      <c r="J140" s="114"/>
      <c r="K140" s="114"/>
      <c r="L140" s="110"/>
      <c r="M140" s="110"/>
      <c r="N140" s="110"/>
      <c r="O140" s="110"/>
      <c r="P140" s="110"/>
      <c r="Q140" s="110"/>
      <c r="R140" s="110"/>
      <c r="S140" s="110"/>
      <c r="T140" s="112"/>
      <c r="U140" s="5"/>
      <c r="V140" s="5"/>
      <c r="W140" s="5"/>
      <c r="X140" s="5"/>
      <c r="Y140" s="5"/>
      <c r="Z140" s="5"/>
      <c r="AA140" s="112"/>
      <c r="AB140" s="5"/>
      <c r="AC140" s="5"/>
    </row>
    <row r="141" ht="18.0" customHeight="1">
      <c r="A141" s="109"/>
      <c r="B141" s="110"/>
      <c r="C141" s="111"/>
      <c r="D141" s="112"/>
      <c r="E141" s="113"/>
      <c r="F141" s="114"/>
      <c r="G141" s="114"/>
      <c r="H141" s="113"/>
      <c r="I141" s="114"/>
      <c r="J141" s="114"/>
      <c r="K141" s="114"/>
      <c r="L141" s="110"/>
      <c r="M141" s="110"/>
      <c r="N141" s="110"/>
      <c r="O141" s="110"/>
      <c r="P141" s="110"/>
      <c r="Q141" s="110"/>
      <c r="R141" s="110"/>
      <c r="S141" s="110"/>
      <c r="T141" s="112"/>
      <c r="U141" s="5"/>
      <c r="V141" s="5"/>
      <c r="W141" s="5"/>
      <c r="X141" s="5"/>
      <c r="Y141" s="5"/>
      <c r="Z141" s="5"/>
      <c r="AA141" s="112"/>
      <c r="AB141" s="5"/>
      <c r="AC141" s="5"/>
    </row>
    <row r="142" ht="18.0" customHeight="1">
      <c r="A142" s="109"/>
      <c r="B142" s="110"/>
      <c r="C142" s="111"/>
      <c r="D142" s="112"/>
      <c r="E142" s="113"/>
      <c r="F142" s="114"/>
      <c r="G142" s="114"/>
      <c r="H142" s="113"/>
      <c r="I142" s="114"/>
      <c r="J142" s="114"/>
      <c r="K142" s="114"/>
      <c r="L142" s="110"/>
      <c r="M142" s="110"/>
      <c r="N142" s="110"/>
      <c r="O142" s="110"/>
      <c r="P142" s="110"/>
      <c r="Q142" s="110"/>
      <c r="R142" s="110"/>
      <c r="S142" s="110"/>
      <c r="T142" s="112"/>
      <c r="U142" s="5"/>
      <c r="V142" s="5"/>
      <c r="W142" s="5"/>
      <c r="X142" s="5"/>
      <c r="Y142" s="5"/>
      <c r="Z142" s="5"/>
      <c r="AA142" s="112"/>
      <c r="AB142" s="5"/>
      <c r="AC142" s="5"/>
    </row>
    <row r="143" ht="18.0" customHeight="1">
      <c r="A143" s="109"/>
      <c r="B143" s="110"/>
      <c r="C143" s="111"/>
      <c r="D143" s="112"/>
      <c r="E143" s="113"/>
      <c r="F143" s="114"/>
      <c r="G143" s="114"/>
      <c r="H143" s="113"/>
      <c r="I143" s="114"/>
      <c r="J143" s="114"/>
      <c r="K143" s="114"/>
      <c r="L143" s="110"/>
      <c r="M143" s="110"/>
      <c r="N143" s="110"/>
      <c r="O143" s="110"/>
      <c r="P143" s="110"/>
      <c r="Q143" s="110"/>
      <c r="R143" s="110"/>
      <c r="S143" s="110"/>
      <c r="T143" s="112"/>
      <c r="U143" s="5"/>
      <c r="V143" s="5"/>
      <c r="W143" s="5"/>
      <c r="X143" s="5"/>
      <c r="Y143" s="5"/>
      <c r="Z143" s="5"/>
      <c r="AA143" s="112"/>
      <c r="AB143" s="5"/>
      <c r="AC143" s="5"/>
    </row>
    <row r="144" ht="18.0" customHeight="1">
      <c r="A144" s="109"/>
      <c r="B144" s="110"/>
      <c r="C144" s="111"/>
      <c r="D144" s="112"/>
      <c r="E144" s="113"/>
      <c r="F144" s="114"/>
      <c r="G144" s="114"/>
      <c r="H144" s="113"/>
      <c r="I144" s="114"/>
      <c r="J144" s="114"/>
      <c r="K144" s="114"/>
      <c r="L144" s="110"/>
      <c r="M144" s="110"/>
      <c r="N144" s="110"/>
      <c r="O144" s="110"/>
      <c r="P144" s="110"/>
      <c r="Q144" s="110"/>
      <c r="R144" s="110"/>
      <c r="S144" s="110"/>
      <c r="T144" s="112"/>
      <c r="U144" s="5"/>
      <c r="V144" s="5"/>
      <c r="W144" s="5"/>
      <c r="X144" s="5"/>
      <c r="Y144" s="5"/>
      <c r="Z144" s="5"/>
      <c r="AA144" s="112"/>
      <c r="AB144" s="5"/>
      <c r="AC144" s="5"/>
    </row>
    <row r="145" ht="18.0" customHeight="1">
      <c r="A145" s="109"/>
      <c r="B145" s="110"/>
      <c r="C145" s="111"/>
      <c r="D145" s="112"/>
      <c r="E145" s="113"/>
      <c r="F145" s="114"/>
      <c r="G145" s="114"/>
      <c r="H145" s="113"/>
      <c r="I145" s="114"/>
      <c r="J145" s="114"/>
      <c r="K145" s="114"/>
      <c r="L145" s="110"/>
      <c r="M145" s="110"/>
      <c r="N145" s="110"/>
      <c r="O145" s="110"/>
      <c r="P145" s="110"/>
      <c r="Q145" s="110"/>
      <c r="R145" s="110"/>
      <c r="S145" s="110"/>
      <c r="T145" s="112"/>
      <c r="U145" s="5"/>
      <c r="V145" s="5"/>
      <c r="W145" s="5"/>
      <c r="X145" s="5"/>
      <c r="Y145" s="5"/>
      <c r="Z145" s="5"/>
      <c r="AA145" s="112"/>
      <c r="AB145" s="5"/>
      <c r="AC145" s="5"/>
    </row>
    <row r="146" ht="18.0" customHeight="1">
      <c r="A146" s="109"/>
      <c r="B146" s="110"/>
      <c r="C146" s="111"/>
      <c r="D146" s="112"/>
      <c r="E146" s="113"/>
      <c r="F146" s="114"/>
      <c r="G146" s="114"/>
      <c r="H146" s="113"/>
      <c r="I146" s="114"/>
      <c r="J146" s="114"/>
      <c r="K146" s="114"/>
      <c r="L146" s="110"/>
      <c r="M146" s="110"/>
      <c r="N146" s="110"/>
      <c r="O146" s="110"/>
      <c r="P146" s="110"/>
      <c r="Q146" s="110"/>
      <c r="R146" s="110"/>
      <c r="S146" s="110"/>
      <c r="T146" s="112"/>
      <c r="U146" s="5"/>
      <c r="V146" s="5"/>
      <c r="W146" s="5"/>
      <c r="X146" s="5"/>
      <c r="Y146" s="5"/>
      <c r="Z146" s="5"/>
      <c r="AA146" s="112"/>
      <c r="AB146" s="5"/>
      <c r="AC146" s="5"/>
    </row>
    <row r="147" ht="18.0" customHeight="1">
      <c r="A147" s="109"/>
      <c r="B147" s="110"/>
      <c r="C147" s="111"/>
      <c r="D147" s="112"/>
      <c r="E147" s="113"/>
      <c r="F147" s="114"/>
      <c r="G147" s="114"/>
      <c r="H147" s="113"/>
      <c r="I147" s="114"/>
      <c r="J147" s="114"/>
      <c r="K147" s="114"/>
      <c r="L147" s="110"/>
      <c r="M147" s="110"/>
      <c r="N147" s="110"/>
      <c r="O147" s="110"/>
      <c r="P147" s="110"/>
      <c r="Q147" s="110"/>
      <c r="R147" s="110"/>
      <c r="S147" s="110"/>
      <c r="T147" s="112"/>
      <c r="U147" s="5"/>
      <c r="V147" s="5"/>
      <c r="W147" s="5"/>
      <c r="X147" s="5"/>
      <c r="Y147" s="5"/>
      <c r="Z147" s="5"/>
      <c r="AA147" s="112"/>
      <c r="AB147" s="5"/>
      <c r="AC147" s="5"/>
    </row>
    <row r="148" ht="18.0" customHeight="1">
      <c r="A148" s="109"/>
      <c r="B148" s="110"/>
      <c r="C148" s="111"/>
      <c r="D148" s="112"/>
      <c r="E148" s="113"/>
      <c r="F148" s="114"/>
      <c r="G148" s="114"/>
      <c r="H148" s="113"/>
      <c r="I148" s="114"/>
      <c r="J148" s="114"/>
      <c r="K148" s="114"/>
      <c r="L148" s="110"/>
      <c r="M148" s="110"/>
      <c r="N148" s="110"/>
      <c r="O148" s="110"/>
      <c r="P148" s="110"/>
      <c r="Q148" s="110"/>
      <c r="R148" s="110"/>
      <c r="S148" s="110"/>
      <c r="T148" s="112"/>
      <c r="U148" s="5"/>
      <c r="V148" s="5"/>
      <c r="W148" s="5"/>
      <c r="X148" s="5"/>
      <c r="Y148" s="5"/>
      <c r="Z148" s="5"/>
      <c r="AA148" s="112"/>
      <c r="AB148" s="5"/>
      <c r="AC148" s="5"/>
    </row>
    <row r="149" ht="18.0" customHeight="1">
      <c r="A149" s="109"/>
      <c r="B149" s="110"/>
      <c r="C149" s="111"/>
      <c r="D149" s="112"/>
      <c r="E149" s="113"/>
      <c r="F149" s="114"/>
      <c r="G149" s="114"/>
      <c r="H149" s="113"/>
      <c r="I149" s="114"/>
      <c r="J149" s="114"/>
      <c r="K149" s="114"/>
      <c r="L149" s="110"/>
      <c r="M149" s="110"/>
      <c r="N149" s="110"/>
      <c r="O149" s="110"/>
      <c r="P149" s="110"/>
      <c r="Q149" s="110"/>
      <c r="R149" s="110"/>
      <c r="S149" s="110"/>
      <c r="T149" s="112"/>
      <c r="U149" s="5"/>
      <c r="V149" s="5"/>
      <c r="W149" s="5"/>
      <c r="X149" s="5"/>
      <c r="Y149" s="5"/>
      <c r="Z149" s="5"/>
      <c r="AA149" s="112"/>
      <c r="AB149" s="5"/>
      <c r="AC149" s="5"/>
    </row>
    <row r="150" ht="18.0" customHeight="1">
      <c r="A150" s="109"/>
      <c r="B150" s="110"/>
      <c r="C150" s="111"/>
      <c r="D150" s="112"/>
      <c r="E150" s="113"/>
      <c r="F150" s="114"/>
      <c r="G150" s="114"/>
      <c r="H150" s="113"/>
      <c r="I150" s="114"/>
      <c r="J150" s="114"/>
      <c r="K150" s="114"/>
      <c r="L150" s="110"/>
      <c r="M150" s="110"/>
      <c r="N150" s="110"/>
      <c r="O150" s="110"/>
      <c r="P150" s="110"/>
      <c r="Q150" s="110"/>
      <c r="R150" s="110"/>
      <c r="S150" s="110"/>
      <c r="T150" s="112"/>
      <c r="U150" s="5"/>
      <c r="V150" s="5"/>
      <c r="W150" s="5"/>
      <c r="X150" s="5"/>
      <c r="Y150" s="5"/>
      <c r="Z150" s="5"/>
      <c r="AA150" s="112"/>
      <c r="AB150" s="5"/>
      <c r="AC150" s="5"/>
    </row>
    <row r="151" ht="18.0" customHeight="1">
      <c r="A151" s="109"/>
      <c r="B151" s="110"/>
      <c r="C151" s="111"/>
      <c r="D151" s="112"/>
      <c r="E151" s="113"/>
      <c r="F151" s="114"/>
      <c r="G151" s="114"/>
      <c r="H151" s="113"/>
      <c r="I151" s="114"/>
      <c r="J151" s="114"/>
      <c r="K151" s="114"/>
      <c r="L151" s="110"/>
      <c r="M151" s="110"/>
      <c r="N151" s="110"/>
      <c r="O151" s="110"/>
      <c r="P151" s="110"/>
      <c r="Q151" s="110"/>
      <c r="R151" s="110"/>
      <c r="S151" s="110"/>
      <c r="T151" s="112"/>
      <c r="U151" s="5"/>
      <c r="V151" s="5"/>
      <c r="W151" s="5"/>
      <c r="X151" s="5"/>
      <c r="Y151" s="5"/>
      <c r="Z151" s="5"/>
      <c r="AA151" s="112"/>
      <c r="AB151" s="5"/>
      <c r="AC151" s="5"/>
    </row>
    <row r="152" ht="18.0" customHeight="1">
      <c r="A152" s="109"/>
      <c r="B152" s="110"/>
      <c r="C152" s="111"/>
      <c r="D152" s="112"/>
      <c r="E152" s="113"/>
      <c r="F152" s="114"/>
      <c r="G152" s="114"/>
      <c r="H152" s="113"/>
      <c r="I152" s="114"/>
      <c r="J152" s="114"/>
      <c r="K152" s="114"/>
      <c r="L152" s="110"/>
      <c r="M152" s="110"/>
      <c r="N152" s="110"/>
      <c r="O152" s="110"/>
      <c r="P152" s="110"/>
      <c r="Q152" s="110"/>
      <c r="R152" s="110"/>
      <c r="S152" s="110"/>
      <c r="T152" s="112"/>
      <c r="U152" s="5"/>
      <c r="V152" s="5"/>
      <c r="W152" s="5"/>
      <c r="X152" s="5"/>
      <c r="Y152" s="5"/>
      <c r="Z152" s="5"/>
      <c r="AA152" s="112"/>
      <c r="AB152" s="5"/>
      <c r="AC152" s="5"/>
    </row>
    <row r="153" ht="18.0" customHeight="1">
      <c r="A153" s="109"/>
      <c r="B153" s="110"/>
      <c r="C153" s="111"/>
      <c r="D153" s="112"/>
      <c r="E153" s="113"/>
      <c r="F153" s="114"/>
      <c r="G153" s="114"/>
      <c r="H153" s="113"/>
      <c r="I153" s="114"/>
      <c r="J153" s="114"/>
      <c r="K153" s="114"/>
      <c r="L153" s="110"/>
      <c r="M153" s="110"/>
      <c r="N153" s="110"/>
      <c r="O153" s="110"/>
      <c r="P153" s="110"/>
      <c r="Q153" s="110"/>
      <c r="R153" s="110"/>
      <c r="S153" s="110"/>
      <c r="T153" s="112"/>
      <c r="U153" s="5"/>
      <c r="V153" s="5"/>
      <c r="W153" s="5"/>
      <c r="X153" s="5"/>
      <c r="Y153" s="5"/>
      <c r="Z153" s="5"/>
      <c r="AA153" s="112"/>
      <c r="AB153" s="5"/>
      <c r="AC153" s="5"/>
    </row>
    <row r="154" ht="18.0" customHeight="1">
      <c r="A154" s="109"/>
      <c r="B154" s="110"/>
      <c r="C154" s="111"/>
      <c r="D154" s="112"/>
      <c r="E154" s="113"/>
      <c r="F154" s="114"/>
      <c r="G154" s="114"/>
      <c r="H154" s="113"/>
      <c r="I154" s="114"/>
      <c r="J154" s="114"/>
      <c r="K154" s="114"/>
      <c r="L154" s="110"/>
      <c r="M154" s="110"/>
      <c r="N154" s="110"/>
      <c r="O154" s="110"/>
      <c r="P154" s="110"/>
      <c r="Q154" s="110"/>
      <c r="R154" s="110"/>
      <c r="S154" s="110"/>
      <c r="T154" s="112"/>
      <c r="U154" s="5"/>
      <c r="V154" s="5"/>
      <c r="W154" s="5"/>
      <c r="X154" s="5"/>
      <c r="Y154" s="5"/>
      <c r="Z154" s="5"/>
      <c r="AA154" s="112"/>
      <c r="AB154" s="5"/>
      <c r="AC154" s="5"/>
    </row>
    <row r="155" ht="18.0" customHeight="1">
      <c r="A155" s="109"/>
      <c r="B155" s="110"/>
      <c r="C155" s="111"/>
      <c r="D155" s="112"/>
      <c r="E155" s="113"/>
      <c r="F155" s="114"/>
      <c r="G155" s="114"/>
      <c r="H155" s="113"/>
      <c r="I155" s="114"/>
      <c r="J155" s="114"/>
      <c r="K155" s="114"/>
      <c r="L155" s="110"/>
      <c r="M155" s="110"/>
      <c r="N155" s="110"/>
      <c r="O155" s="110"/>
      <c r="P155" s="110"/>
      <c r="Q155" s="110"/>
      <c r="R155" s="110"/>
      <c r="S155" s="110"/>
      <c r="T155" s="112"/>
      <c r="U155" s="5"/>
      <c r="V155" s="5"/>
      <c r="W155" s="5"/>
      <c r="X155" s="5"/>
      <c r="Y155" s="5"/>
      <c r="Z155" s="5"/>
      <c r="AA155" s="112"/>
      <c r="AB155" s="5"/>
      <c r="AC155" s="5"/>
    </row>
    <row r="156" ht="18.0" customHeight="1">
      <c r="A156" s="109"/>
      <c r="B156" s="110"/>
      <c r="C156" s="111"/>
      <c r="D156" s="112"/>
      <c r="E156" s="113"/>
      <c r="F156" s="114"/>
      <c r="G156" s="114"/>
      <c r="H156" s="113"/>
      <c r="I156" s="114"/>
      <c r="J156" s="114"/>
      <c r="K156" s="114"/>
      <c r="L156" s="110"/>
      <c r="M156" s="110"/>
      <c r="N156" s="110"/>
      <c r="O156" s="110"/>
      <c r="P156" s="110"/>
      <c r="Q156" s="110"/>
      <c r="R156" s="110"/>
      <c r="S156" s="110"/>
      <c r="T156" s="112"/>
      <c r="U156" s="5"/>
      <c r="V156" s="5"/>
      <c r="W156" s="5"/>
      <c r="X156" s="5"/>
      <c r="Y156" s="5"/>
      <c r="Z156" s="5"/>
      <c r="AA156" s="112"/>
      <c r="AB156" s="5"/>
      <c r="AC156" s="5"/>
    </row>
    <row r="157" ht="18.0" customHeight="1">
      <c r="A157" s="109"/>
      <c r="B157" s="110"/>
      <c r="C157" s="111"/>
      <c r="D157" s="112"/>
      <c r="E157" s="113"/>
      <c r="F157" s="114"/>
      <c r="G157" s="114"/>
      <c r="H157" s="113"/>
      <c r="I157" s="114"/>
      <c r="J157" s="114"/>
      <c r="K157" s="114"/>
      <c r="L157" s="110"/>
      <c r="M157" s="110"/>
      <c r="N157" s="110"/>
      <c r="O157" s="110"/>
      <c r="P157" s="110"/>
      <c r="Q157" s="110"/>
      <c r="R157" s="110"/>
      <c r="S157" s="110"/>
      <c r="T157" s="112"/>
      <c r="U157" s="5"/>
      <c r="V157" s="5"/>
      <c r="W157" s="5"/>
      <c r="X157" s="5"/>
      <c r="Y157" s="5"/>
      <c r="Z157" s="5"/>
      <c r="AA157" s="112"/>
      <c r="AB157" s="5"/>
      <c r="AC157" s="5"/>
    </row>
    <row r="158" ht="18.0" customHeight="1">
      <c r="A158" s="109"/>
      <c r="B158" s="110"/>
      <c r="C158" s="111"/>
      <c r="D158" s="112"/>
      <c r="E158" s="113"/>
      <c r="F158" s="114"/>
      <c r="G158" s="114"/>
      <c r="H158" s="113"/>
      <c r="I158" s="114"/>
      <c r="J158" s="114"/>
      <c r="K158" s="114"/>
      <c r="L158" s="110"/>
      <c r="M158" s="110"/>
      <c r="N158" s="110"/>
      <c r="O158" s="110"/>
      <c r="P158" s="110"/>
      <c r="Q158" s="110"/>
      <c r="R158" s="110"/>
      <c r="S158" s="110"/>
      <c r="T158" s="112"/>
      <c r="U158" s="5"/>
      <c r="V158" s="5"/>
      <c r="W158" s="5"/>
      <c r="X158" s="5"/>
      <c r="Y158" s="5"/>
      <c r="Z158" s="5"/>
      <c r="AA158" s="112"/>
      <c r="AB158" s="5"/>
      <c r="AC158" s="5"/>
    </row>
    <row r="159" ht="18.0" customHeight="1">
      <c r="A159" s="109"/>
      <c r="B159" s="110"/>
      <c r="C159" s="111"/>
      <c r="D159" s="112"/>
      <c r="E159" s="113"/>
      <c r="F159" s="114"/>
      <c r="G159" s="114"/>
      <c r="H159" s="113"/>
      <c r="I159" s="114"/>
      <c r="J159" s="114"/>
      <c r="K159" s="114"/>
      <c r="L159" s="110"/>
      <c r="M159" s="110"/>
      <c r="N159" s="110"/>
      <c r="O159" s="110"/>
      <c r="P159" s="110"/>
      <c r="Q159" s="110"/>
      <c r="R159" s="110"/>
      <c r="S159" s="110"/>
      <c r="T159" s="112"/>
      <c r="U159" s="5"/>
      <c r="V159" s="5"/>
      <c r="W159" s="5"/>
      <c r="X159" s="5"/>
      <c r="Y159" s="5"/>
      <c r="Z159" s="5"/>
      <c r="AA159" s="112"/>
      <c r="AB159" s="5"/>
      <c r="AC159" s="5"/>
    </row>
    <row r="160" ht="18.0" customHeight="1">
      <c r="A160" s="109"/>
      <c r="B160" s="110"/>
      <c r="C160" s="111"/>
      <c r="D160" s="112"/>
      <c r="E160" s="113"/>
      <c r="F160" s="114"/>
      <c r="G160" s="114"/>
      <c r="H160" s="113"/>
      <c r="I160" s="114"/>
      <c r="J160" s="114"/>
      <c r="K160" s="114"/>
      <c r="L160" s="110"/>
      <c r="M160" s="110"/>
      <c r="N160" s="110"/>
      <c r="O160" s="110"/>
      <c r="P160" s="110"/>
      <c r="Q160" s="110"/>
      <c r="R160" s="110"/>
      <c r="S160" s="110"/>
      <c r="T160" s="112"/>
      <c r="U160" s="5"/>
      <c r="V160" s="5"/>
      <c r="W160" s="5"/>
      <c r="X160" s="5"/>
      <c r="Y160" s="5"/>
      <c r="Z160" s="5"/>
      <c r="AA160" s="112"/>
      <c r="AB160" s="5"/>
      <c r="AC160" s="5"/>
    </row>
    <row r="161" ht="18.0" customHeight="1">
      <c r="A161" s="109"/>
      <c r="B161" s="110"/>
      <c r="C161" s="111"/>
      <c r="D161" s="112"/>
      <c r="E161" s="113"/>
      <c r="F161" s="114"/>
      <c r="G161" s="114"/>
      <c r="H161" s="113"/>
      <c r="I161" s="114"/>
      <c r="J161" s="114"/>
      <c r="K161" s="114"/>
      <c r="L161" s="110"/>
      <c r="M161" s="110"/>
      <c r="N161" s="110"/>
      <c r="O161" s="110"/>
      <c r="P161" s="110"/>
      <c r="Q161" s="110"/>
      <c r="R161" s="110"/>
      <c r="S161" s="110"/>
      <c r="T161" s="112"/>
      <c r="U161" s="5"/>
      <c r="V161" s="5"/>
      <c r="W161" s="5"/>
      <c r="X161" s="5"/>
      <c r="Y161" s="5"/>
      <c r="Z161" s="5"/>
      <c r="AA161" s="112"/>
      <c r="AB161" s="5"/>
      <c r="AC161" s="5"/>
    </row>
    <row r="162" ht="18.0" customHeight="1">
      <c r="A162" s="109"/>
      <c r="B162" s="110"/>
      <c r="C162" s="111"/>
      <c r="D162" s="112"/>
      <c r="E162" s="113"/>
      <c r="F162" s="114"/>
      <c r="G162" s="114"/>
      <c r="H162" s="113"/>
      <c r="I162" s="114"/>
      <c r="J162" s="114"/>
      <c r="K162" s="114"/>
      <c r="L162" s="110"/>
      <c r="M162" s="110"/>
      <c r="N162" s="110"/>
      <c r="O162" s="110"/>
      <c r="P162" s="110"/>
      <c r="Q162" s="110"/>
      <c r="R162" s="110"/>
      <c r="S162" s="110"/>
      <c r="T162" s="112"/>
      <c r="U162" s="5"/>
      <c r="V162" s="5"/>
      <c r="W162" s="5"/>
      <c r="X162" s="5"/>
      <c r="Y162" s="5"/>
      <c r="Z162" s="5"/>
      <c r="AA162" s="112"/>
      <c r="AB162" s="5"/>
      <c r="AC162" s="5"/>
    </row>
    <row r="163" ht="18.0" customHeight="1">
      <c r="A163" s="109"/>
      <c r="B163" s="110"/>
      <c r="C163" s="111"/>
      <c r="D163" s="112"/>
      <c r="E163" s="113"/>
      <c r="F163" s="114"/>
      <c r="G163" s="114"/>
      <c r="H163" s="113"/>
      <c r="I163" s="114"/>
      <c r="J163" s="114"/>
      <c r="K163" s="114"/>
      <c r="L163" s="110"/>
      <c r="M163" s="110"/>
      <c r="N163" s="110"/>
      <c r="O163" s="110"/>
      <c r="P163" s="110"/>
      <c r="Q163" s="110"/>
      <c r="R163" s="110"/>
      <c r="S163" s="110"/>
      <c r="T163" s="112"/>
      <c r="U163" s="5"/>
      <c r="V163" s="5"/>
      <c r="W163" s="5"/>
      <c r="X163" s="5"/>
      <c r="Y163" s="5"/>
      <c r="Z163" s="5"/>
      <c r="AA163" s="112"/>
      <c r="AB163" s="5"/>
      <c r="AC163" s="5"/>
    </row>
    <row r="164" ht="18.0" customHeight="1">
      <c r="A164" s="109"/>
      <c r="B164" s="110"/>
      <c r="C164" s="111"/>
      <c r="D164" s="112"/>
      <c r="E164" s="113"/>
      <c r="F164" s="114"/>
      <c r="G164" s="114"/>
      <c r="H164" s="113"/>
      <c r="I164" s="114"/>
      <c r="J164" s="114"/>
      <c r="K164" s="114"/>
      <c r="L164" s="110"/>
      <c r="M164" s="110"/>
      <c r="N164" s="110"/>
      <c r="O164" s="110"/>
      <c r="P164" s="110"/>
      <c r="Q164" s="110"/>
      <c r="R164" s="110"/>
      <c r="S164" s="110"/>
      <c r="T164" s="112"/>
      <c r="U164" s="5"/>
      <c r="V164" s="5"/>
      <c r="W164" s="5"/>
      <c r="X164" s="5"/>
      <c r="Y164" s="5"/>
      <c r="Z164" s="5"/>
      <c r="AA164" s="112"/>
      <c r="AB164" s="5"/>
      <c r="AC164" s="5"/>
    </row>
    <row r="165" ht="18.0" customHeight="1">
      <c r="A165" s="109"/>
      <c r="B165" s="110"/>
      <c r="C165" s="111"/>
      <c r="D165" s="112"/>
      <c r="E165" s="113"/>
      <c r="F165" s="114"/>
      <c r="G165" s="114"/>
      <c r="H165" s="113"/>
      <c r="I165" s="114"/>
      <c r="J165" s="114"/>
      <c r="K165" s="114"/>
      <c r="L165" s="110"/>
      <c r="M165" s="110"/>
      <c r="N165" s="110"/>
      <c r="O165" s="110"/>
      <c r="P165" s="110"/>
      <c r="Q165" s="110"/>
      <c r="R165" s="110"/>
      <c r="S165" s="110"/>
      <c r="T165" s="112"/>
      <c r="U165" s="5"/>
      <c r="V165" s="5"/>
      <c r="W165" s="5"/>
      <c r="X165" s="5"/>
      <c r="Y165" s="5"/>
      <c r="Z165" s="5"/>
      <c r="AA165" s="112"/>
      <c r="AB165" s="5"/>
      <c r="AC165" s="5"/>
    </row>
    <row r="166" ht="18.0" customHeight="1">
      <c r="A166" s="109"/>
      <c r="B166" s="110"/>
      <c r="C166" s="111"/>
      <c r="D166" s="112"/>
      <c r="E166" s="113"/>
      <c r="F166" s="114"/>
      <c r="G166" s="114"/>
      <c r="H166" s="113"/>
      <c r="I166" s="114"/>
      <c r="J166" s="114"/>
      <c r="K166" s="114"/>
      <c r="L166" s="110"/>
      <c r="M166" s="110"/>
      <c r="N166" s="110"/>
      <c r="O166" s="110"/>
      <c r="P166" s="110"/>
      <c r="Q166" s="110"/>
      <c r="R166" s="110"/>
      <c r="S166" s="110"/>
      <c r="T166" s="112"/>
      <c r="U166" s="5"/>
      <c r="V166" s="5"/>
      <c r="W166" s="5"/>
      <c r="X166" s="5"/>
      <c r="Y166" s="5"/>
      <c r="Z166" s="5"/>
      <c r="AA166" s="112"/>
      <c r="AB166" s="5"/>
      <c r="AC166" s="5"/>
    </row>
    <row r="167" ht="18.0" customHeight="1">
      <c r="A167" s="109"/>
      <c r="B167" s="110"/>
      <c r="C167" s="111"/>
      <c r="D167" s="112"/>
      <c r="E167" s="113"/>
      <c r="F167" s="114"/>
      <c r="G167" s="114"/>
      <c r="H167" s="113"/>
      <c r="I167" s="114"/>
      <c r="J167" s="114"/>
      <c r="K167" s="114"/>
      <c r="L167" s="110"/>
      <c r="M167" s="110"/>
      <c r="N167" s="110"/>
      <c r="O167" s="110"/>
      <c r="P167" s="110"/>
      <c r="Q167" s="110"/>
      <c r="R167" s="110"/>
      <c r="S167" s="110"/>
      <c r="T167" s="112"/>
      <c r="U167" s="5"/>
      <c r="V167" s="5"/>
      <c r="W167" s="5"/>
      <c r="X167" s="5"/>
      <c r="Y167" s="5"/>
      <c r="Z167" s="5"/>
      <c r="AA167" s="112"/>
      <c r="AB167" s="5"/>
      <c r="AC167" s="5"/>
    </row>
    <row r="168" ht="18.0" customHeight="1">
      <c r="A168" s="109"/>
      <c r="B168" s="110"/>
      <c r="C168" s="111"/>
      <c r="D168" s="112"/>
      <c r="E168" s="113"/>
      <c r="F168" s="114"/>
      <c r="G168" s="114"/>
      <c r="H168" s="113"/>
      <c r="I168" s="114"/>
      <c r="J168" s="114"/>
      <c r="K168" s="114"/>
      <c r="L168" s="110"/>
      <c r="M168" s="110"/>
      <c r="N168" s="110"/>
      <c r="O168" s="110"/>
      <c r="P168" s="110"/>
      <c r="Q168" s="110"/>
      <c r="R168" s="110"/>
      <c r="S168" s="110"/>
      <c r="T168" s="112"/>
      <c r="U168" s="5"/>
      <c r="V168" s="5"/>
      <c r="W168" s="5"/>
      <c r="X168" s="5"/>
      <c r="Y168" s="5"/>
      <c r="Z168" s="5"/>
      <c r="AA168" s="112"/>
      <c r="AB168" s="5"/>
      <c r="AC168" s="5"/>
    </row>
    <row r="169" ht="18.0" customHeight="1">
      <c r="A169" s="109"/>
      <c r="B169" s="110"/>
      <c r="C169" s="111"/>
      <c r="D169" s="112"/>
      <c r="E169" s="113"/>
      <c r="F169" s="114"/>
      <c r="G169" s="114"/>
      <c r="H169" s="113"/>
      <c r="I169" s="114"/>
      <c r="J169" s="114"/>
      <c r="K169" s="114"/>
      <c r="L169" s="110"/>
      <c r="M169" s="110"/>
      <c r="N169" s="110"/>
      <c r="O169" s="110"/>
      <c r="P169" s="110"/>
      <c r="Q169" s="110"/>
      <c r="R169" s="110"/>
      <c r="S169" s="110"/>
      <c r="T169" s="112"/>
      <c r="U169" s="5"/>
      <c r="V169" s="5"/>
      <c r="W169" s="5"/>
      <c r="X169" s="5"/>
      <c r="Y169" s="5"/>
      <c r="Z169" s="5"/>
      <c r="AA169" s="112"/>
      <c r="AB169" s="5"/>
      <c r="AC169" s="5"/>
    </row>
    <row r="170" ht="18.0" customHeight="1">
      <c r="A170" s="109"/>
      <c r="B170" s="110"/>
      <c r="C170" s="111"/>
      <c r="D170" s="112"/>
      <c r="E170" s="113"/>
      <c r="F170" s="114"/>
      <c r="G170" s="114"/>
      <c r="H170" s="113"/>
      <c r="I170" s="114"/>
      <c r="J170" s="114"/>
      <c r="K170" s="114"/>
      <c r="L170" s="110"/>
      <c r="M170" s="110"/>
      <c r="N170" s="110"/>
      <c r="O170" s="110"/>
      <c r="P170" s="110"/>
      <c r="Q170" s="110"/>
      <c r="R170" s="110"/>
      <c r="S170" s="110"/>
      <c r="T170" s="112"/>
      <c r="U170" s="5"/>
      <c r="V170" s="5"/>
      <c r="W170" s="5"/>
      <c r="X170" s="5"/>
      <c r="Y170" s="5"/>
      <c r="Z170" s="5"/>
      <c r="AA170" s="112"/>
      <c r="AB170" s="5"/>
      <c r="AC170" s="5"/>
    </row>
    <row r="171" ht="18.0" customHeight="1">
      <c r="A171" s="109"/>
      <c r="B171" s="110"/>
      <c r="C171" s="111"/>
      <c r="D171" s="112"/>
      <c r="E171" s="113"/>
      <c r="F171" s="114"/>
      <c r="G171" s="114"/>
      <c r="H171" s="113"/>
      <c r="I171" s="114"/>
      <c r="J171" s="114"/>
      <c r="K171" s="114"/>
      <c r="L171" s="110"/>
      <c r="M171" s="110"/>
      <c r="N171" s="110"/>
      <c r="O171" s="110"/>
      <c r="P171" s="110"/>
      <c r="Q171" s="110"/>
      <c r="R171" s="110"/>
      <c r="S171" s="110"/>
      <c r="T171" s="112"/>
      <c r="U171" s="5"/>
      <c r="V171" s="5"/>
      <c r="W171" s="5"/>
      <c r="X171" s="5"/>
      <c r="Y171" s="5"/>
      <c r="Z171" s="5"/>
      <c r="AA171" s="112"/>
      <c r="AB171" s="5"/>
      <c r="AC171" s="5"/>
    </row>
    <row r="172" ht="18.0" customHeight="1">
      <c r="A172" s="109"/>
      <c r="B172" s="110"/>
      <c r="C172" s="111"/>
      <c r="D172" s="112"/>
      <c r="E172" s="113"/>
      <c r="F172" s="114"/>
      <c r="G172" s="114"/>
      <c r="H172" s="113"/>
      <c r="I172" s="114"/>
      <c r="J172" s="114"/>
      <c r="K172" s="114"/>
      <c r="L172" s="110"/>
      <c r="M172" s="110"/>
      <c r="N172" s="110"/>
      <c r="O172" s="110"/>
      <c r="P172" s="110"/>
      <c r="Q172" s="110"/>
      <c r="R172" s="110"/>
      <c r="S172" s="110"/>
      <c r="T172" s="112"/>
      <c r="U172" s="5"/>
      <c r="V172" s="5"/>
      <c r="W172" s="5"/>
      <c r="X172" s="5"/>
      <c r="Y172" s="5"/>
      <c r="Z172" s="5"/>
      <c r="AA172" s="112"/>
      <c r="AB172" s="5"/>
      <c r="AC172" s="5"/>
    </row>
    <row r="173" ht="18.0" customHeight="1">
      <c r="A173" s="109"/>
      <c r="B173" s="110"/>
      <c r="C173" s="111"/>
      <c r="D173" s="112"/>
      <c r="E173" s="113"/>
      <c r="F173" s="114"/>
      <c r="G173" s="114"/>
      <c r="H173" s="113"/>
      <c r="I173" s="114"/>
      <c r="J173" s="114"/>
      <c r="K173" s="114"/>
      <c r="L173" s="110"/>
      <c r="M173" s="110"/>
      <c r="N173" s="110"/>
      <c r="O173" s="110"/>
      <c r="P173" s="110"/>
      <c r="Q173" s="110"/>
      <c r="R173" s="110"/>
      <c r="S173" s="110"/>
      <c r="T173" s="112"/>
      <c r="U173" s="5"/>
      <c r="V173" s="5"/>
      <c r="W173" s="5"/>
      <c r="X173" s="5"/>
      <c r="Y173" s="5"/>
      <c r="Z173" s="5"/>
      <c r="AA173" s="112"/>
      <c r="AB173" s="5"/>
      <c r="AC173" s="5"/>
    </row>
    <row r="174" ht="18.0" customHeight="1">
      <c r="A174" s="109"/>
      <c r="B174" s="110"/>
      <c r="C174" s="111"/>
      <c r="D174" s="112"/>
      <c r="E174" s="113"/>
      <c r="F174" s="114"/>
      <c r="G174" s="114"/>
      <c r="H174" s="113"/>
      <c r="I174" s="114"/>
      <c r="J174" s="114"/>
      <c r="K174" s="114"/>
      <c r="L174" s="110"/>
      <c r="M174" s="110"/>
      <c r="N174" s="110"/>
      <c r="O174" s="110"/>
      <c r="P174" s="110"/>
      <c r="Q174" s="110"/>
      <c r="R174" s="110"/>
      <c r="S174" s="110"/>
      <c r="T174" s="112"/>
      <c r="U174" s="5"/>
      <c r="V174" s="5"/>
      <c r="W174" s="5"/>
      <c r="X174" s="5"/>
      <c r="Y174" s="5"/>
      <c r="Z174" s="5"/>
      <c r="AA174" s="112"/>
      <c r="AB174" s="5"/>
      <c r="AC174" s="5"/>
    </row>
    <row r="175" ht="18.0" customHeight="1">
      <c r="A175" s="109"/>
      <c r="B175" s="110"/>
      <c r="C175" s="111"/>
      <c r="D175" s="112"/>
      <c r="E175" s="113"/>
      <c r="F175" s="114"/>
      <c r="G175" s="114"/>
      <c r="H175" s="113"/>
      <c r="I175" s="114"/>
      <c r="J175" s="114"/>
      <c r="K175" s="114"/>
      <c r="L175" s="110"/>
      <c r="M175" s="110"/>
      <c r="N175" s="110"/>
      <c r="O175" s="110"/>
      <c r="P175" s="110"/>
      <c r="Q175" s="110"/>
      <c r="R175" s="110"/>
      <c r="S175" s="110"/>
      <c r="T175" s="112"/>
      <c r="U175" s="5"/>
      <c r="V175" s="5"/>
      <c r="W175" s="5"/>
      <c r="X175" s="5"/>
      <c r="Y175" s="5"/>
      <c r="Z175" s="5"/>
      <c r="AA175" s="112"/>
      <c r="AB175" s="5"/>
      <c r="AC175" s="5"/>
    </row>
    <row r="176" ht="18.0" customHeight="1">
      <c r="A176" s="109"/>
      <c r="B176" s="110"/>
      <c r="C176" s="111"/>
      <c r="D176" s="112"/>
      <c r="E176" s="113"/>
      <c r="F176" s="114"/>
      <c r="G176" s="114"/>
      <c r="H176" s="113"/>
      <c r="I176" s="114"/>
      <c r="J176" s="114"/>
      <c r="K176" s="114"/>
      <c r="L176" s="110"/>
      <c r="M176" s="110"/>
      <c r="N176" s="110"/>
      <c r="O176" s="110"/>
      <c r="P176" s="110"/>
      <c r="Q176" s="110"/>
      <c r="R176" s="110"/>
      <c r="S176" s="110"/>
      <c r="T176" s="112"/>
      <c r="U176" s="5"/>
      <c r="V176" s="5"/>
      <c r="W176" s="5"/>
      <c r="X176" s="5"/>
      <c r="Y176" s="5"/>
      <c r="Z176" s="5"/>
      <c r="AA176" s="112"/>
      <c r="AB176" s="5"/>
      <c r="AC176" s="5"/>
    </row>
    <row r="177" ht="18.0" customHeight="1">
      <c r="A177" s="109"/>
      <c r="B177" s="110"/>
      <c r="C177" s="111"/>
      <c r="D177" s="112"/>
      <c r="E177" s="113"/>
      <c r="F177" s="114"/>
      <c r="G177" s="114"/>
      <c r="H177" s="113"/>
      <c r="I177" s="114"/>
      <c r="J177" s="114"/>
      <c r="K177" s="114"/>
      <c r="L177" s="110"/>
      <c r="M177" s="110"/>
      <c r="N177" s="110"/>
      <c r="O177" s="110"/>
      <c r="P177" s="110"/>
      <c r="Q177" s="110"/>
      <c r="R177" s="110"/>
      <c r="S177" s="110"/>
      <c r="T177" s="112"/>
      <c r="U177" s="5"/>
      <c r="V177" s="5"/>
      <c r="W177" s="5"/>
      <c r="X177" s="5"/>
      <c r="Y177" s="5"/>
      <c r="Z177" s="5"/>
      <c r="AA177" s="112"/>
      <c r="AB177" s="5"/>
      <c r="AC177" s="5"/>
    </row>
    <row r="178" ht="18.0" customHeight="1">
      <c r="A178" s="109"/>
      <c r="B178" s="110"/>
      <c r="C178" s="111"/>
      <c r="D178" s="112"/>
      <c r="E178" s="113"/>
      <c r="F178" s="114"/>
      <c r="G178" s="114"/>
      <c r="H178" s="113"/>
      <c r="I178" s="114"/>
      <c r="J178" s="114"/>
      <c r="K178" s="114"/>
      <c r="L178" s="110"/>
      <c r="M178" s="110"/>
      <c r="N178" s="110"/>
      <c r="O178" s="110"/>
      <c r="P178" s="110"/>
      <c r="Q178" s="110"/>
      <c r="R178" s="110"/>
      <c r="S178" s="110"/>
      <c r="T178" s="112"/>
      <c r="U178" s="5"/>
      <c r="V178" s="5"/>
      <c r="W178" s="5"/>
      <c r="X178" s="5"/>
      <c r="Y178" s="5"/>
      <c r="Z178" s="5"/>
      <c r="AA178" s="112"/>
      <c r="AB178" s="5"/>
      <c r="AC178" s="5"/>
    </row>
    <row r="179" ht="18.0" customHeight="1">
      <c r="A179" s="109"/>
      <c r="B179" s="110"/>
      <c r="C179" s="111"/>
      <c r="D179" s="112"/>
      <c r="E179" s="113"/>
      <c r="F179" s="114"/>
      <c r="G179" s="114"/>
      <c r="H179" s="113"/>
      <c r="I179" s="114"/>
      <c r="J179" s="114"/>
      <c r="K179" s="114"/>
      <c r="L179" s="110"/>
      <c r="M179" s="110"/>
      <c r="N179" s="110"/>
      <c r="O179" s="110"/>
      <c r="P179" s="110"/>
      <c r="Q179" s="110"/>
      <c r="R179" s="110"/>
      <c r="S179" s="110"/>
      <c r="T179" s="112"/>
      <c r="U179" s="5"/>
      <c r="V179" s="5"/>
      <c r="W179" s="5"/>
      <c r="X179" s="5"/>
      <c r="Y179" s="5"/>
      <c r="Z179" s="5"/>
      <c r="AA179" s="112"/>
      <c r="AB179" s="5"/>
      <c r="AC179" s="5"/>
    </row>
    <row r="180" ht="18.0" customHeight="1">
      <c r="A180" s="109"/>
      <c r="B180" s="110"/>
      <c r="C180" s="111"/>
      <c r="D180" s="112"/>
      <c r="E180" s="113"/>
      <c r="F180" s="114"/>
      <c r="G180" s="114"/>
      <c r="H180" s="113"/>
      <c r="I180" s="114"/>
      <c r="J180" s="114"/>
      <c r="K180" s="114"/>
      <c r="L180" s="110"/>
      <c r="M180" s="110"/>
      <c r="N180" s="110"/>
      <c r="O180" s="110"/>
      <c r="P180" s="110"/>
      <c r="Q180" s="110"/>
      <c r="R180" s="110"/>
      <c r="S180" s="110"/>
      <c r="T180" s="112"/>
      <c r="U180" s="5"/>
      <c r="V180" s="5"/>
      <c r="W180" s="5"/>
      <c r="X180" s="5"/>
      <c r="Y180" s="5"/>
      <c r="Z180" s="5"/>
      <c r="AA180" s="112"/>
      <c r="AB180" s="5"/>
      <c r="AC180" s="5"/>
    </row>
    <row r="181" ht="18.0" customHeight="1">
      <c r="A181" s="109"/>
      <c r="B181" s="110"/>
      <c r="C181" s="111"/>
      <c r="D181" s="112"/>
      <c r="E181" s="113"/>
      <c r="F181" s="114"/>
      <c r="G181" s="114"/>
      <c r="H181" s="113"/>
      <c r="I181" s="114"/>
      <c r="J181" s="114"/>
      <c r="K181" s="114"/>
      <c r="L181" s="110"/>
      <c r="M181" s="110"/>
      <c r="N181" s="110"/>
      <c r="O181" s="110"/>
      <c r="P181" s="110"/>
      <c r="Q181" s="110"/>
      <c r="R181" s="110"/>
      <c r="S181" s="110"/>
      <c r="T181" s="112"/>
      <c r="U181" s="5"/>
      <c r="V181" s="5"/>
      <c r="W181" s="5"/>
      <c r="X181" s="5"/>
      <c r="Y181" s="5"/>
      <c r="Z181" s="5"/>
      <c r="AA181" s="112"/>
      <c r="AB181" s="5"/>
      <c r="AC181" s="5"/>
    </row>
    <row r="182" ht="18.0" customHeight="1">
      <c r="A182" s="109"/>
      <c r="B182" s="110"/>
      <c r="C182" s="111"/>
      <c r="D182" s="112"/>
      <c r="E182" s="113"/>
      <c r="F182" s="114"/>
      <c r="G182" s="114"/>
      <c r="H182" s="113"/>
      <c r="I182" s="114"/>
      <c r="J182" s="114"/>
      <c r="K182" s="114"/>
      <c r="L182" s="110"/>
      <c r="M182" s="110"/>
      <c r="N182" s="110"/>
      <c r="O182" s="110"/>
      <c r="P182" s="110"/>
      <c r="Q182" s="110"/>
      <c r="R182" s="110"/>
      <c r="S182" s="110"/>
      <c r="T182" s="112"/>
      <c r="U182" s="5"/>
      <c r="V182" s="5"/>
      <c r="W182" s="5"/>
      <c r="X182" s="5"/>
      <c r="Y182" s="5"/>
      <c r="Z182" s="5"/>
      <c r="AA182" s="112"/>
      <c r="AB182" s="5"/>
      <c r="AC182" s="5"/>
    </row>
    <row r="183" ht="18.0" customHeight="1">
      <c r="A183" s="109"/>
      <c r="B183" s="110"/>
      <c r="C183" s="111"/>
      <c r="D183" s="112"/>
      <c r="E183" s="113"/>
      <c r="F183" s="114"/>
      <c r="G183" s="114"/>
      <c r="H183" s="113"/>
      <c r="I183" s="114"/>
      <c r="J183" s="114"/>
      <c r="K183" s="114"/>
      <c r="L183" s="110"/>
      <c r="M183" s="110"/>
      <c r="N183" s="110"/>
      <c r="O183" s="110"/>
      <c r="P183" s="110"/>
      <c r="Q183" s="110"/>
      <c r="R183" s="110"/>
      <c r="S183" s="110"/>
      <c r="T183" s="112"/>
      <c r="U183" s="5"/>
      <c r="V183" s="5"/>
      <c r="W183" s="5"/>
      <c r="X183" s="5"/>
      <c r="Y183" s="5"/>
      <c r="Z183" s="5"/>
      <c r="AA183" s="112"/>
      <c r="AB183" s="5"/>
      <c r="AC183" s="5"/>
    </row>
    <row r="184" ht="18.0" customHeight="1">
      <c r="A184" s="109"/>
      <c r="B184" s="110"/>
      <c r="C184" s="111"/>
      <c r="D184" s="112"/>
      <c r="E184" s="113"/>
      <c r="F184" s="114"/>
      <c r="G184" s="114"/>
      <c r="H184" s="113"/>
      <c r="I184" s="114"/>
      <c r="J184" s="114"/>
      <c r="K184" s="114"/>
      <c r="L184" s="110"/>
      <c r="M184" s="110"/>
      <c r="N184" s="110"/>
      <c r="O184" s="110"/>
      <c r="P184" s="110"/>
      <c r="Q184" s="110"/>
      <c r="R184" s="110"/>
      <c r="S184" s="110"/>
      <c r="T184" s="112"/>
      <c r="U184" s="5"/>
      <c r="V184" s="5"/>
      <c r="W184" s="5"/>
      <c r="X184" s="5"/>
      <c r="Y184" s="5"/>
      <c r="Z184" s="5"/>
      <c r="AA184" s="112"/>
      <c r="AB184" s="5"/>
      <c r="AC184" s="5"/>
    </row>
    <row r="185" ht="18.0" customHeight="1">
      <c r="A185" s="109"/>
      <c r="B185" s="110"/>
      <c r="C185" s="111"/>
      <c r="D185" s="112"/>
      <c r="E185" s="113"/>
      <c r="F185" s="114"/>
      <c r="G185" s="114"/>
      <c r="H185" s="113"/>
      <c r="I185" s="114"/>
      <c r="J185" s="114"/>
      <c r="K185" s="114"/>
      <c r="L185" s="110"/>
      <c r="M185" s="110"/>
      <c r="N185" s="110"/>
      <c r="O185" s="110"/>
      <c r="P185" s="110"/>
      <c r="Q185" s="110"/>
      <c r="R185" s="110"/>
      <c r="S185" s="110"/>
      <c r="T185" s="112"/>
      <c r="U185" s="5"/>
      <c r="V185" s="5"/>
      <c r="W185" s="5"/>
      <c r="X185" s="5"/>
      <c r="Y185" s="5"/>
      <c r="Z185" s="5"/>
      <c r="AA185" s="112"/>
      <c r="AB185" s="5"/>
      <c r="AC185" s="5"/>
    </row>
    <row r="186" ht="18.0" customHeight="1">
      <c r="A186" s="109"/>
      <c r="B186" s="110"/>
      <c r="C186" s="111"/>
      <c r="D186" s="112"/>
      <c r="E186" s="113"/>
      <c r="F186" s="114"/>
      <c r="G186" s="114"/>
      <c r="H186" s="113"/>
      <c r="I186" s="114"/>
      <c r="J186" s="114"/>
      <c r="K186" s="114"/>
      <c r="L186" s="110"/>
      <c r="M186" s="110"/>
      <c r="N186" s="110"/>
      <c r="O186" s="110"/>
      <c r="P186" s="110"/>
      <c r="Q186" s="110"/>
      <c r="R186" s="110"/>
      <c r="S186" s="110"/>
      <c r="T186" s="112"/>
      <c r="U186" s="5"/>
      <c r="V186" s="5"/>
      <c r="W186" s="5"/>
      <c r="X186" s="5"/>
      <c r="Y186" s="5"/>
      <c r="Z186" s="5"/>
      <c r="AA186" s="112"/>
      <c r="AB186" s="5"/>
      <c r="AC186" s="5"/>
    </row>
    <row r="187" ht="18.0" customHeight="1">
      <c r="A187" s="109"/>
      <c r="B187" s="110"/>
      <c r="C187" s="111"/>
      <c r="D187" s="112"/>
      <c r="E187" s="113"/>
      <c r="F187" s="114"/>
      <c r="G187" s="114"/>
      <c r="H187" s="113"/>
      <c r="I187" s="114"/>
      <c r="J187" s="114"/>
      <c r="K187" s="114"/>
      <c r="L187" s="110"/>
      <c r="M187" s="110"/>
      <c r="N187" s="110"/>
      <c r="O187" s="110"/>
      <c r="P187" s="110"/>
      <c r="Q187" s="110"/>
      <c r="R187" s="110"/>
      <c r="S187" s="110"/>
      <c r="T187" s="112"/>
      <c r="U187" s="5"/>
      <c r="V187" s="5"/>
      <c r="W187" s="5"/>
      <c r="X187" s="5"/>
      <c r="Y187" s="5"/>
      <c r="Z187" s="5"/>
      <c r="AA187" s="112"/>
      <c r="AB187" s="5"/>
      <c r="AC187" s="5"/>
    </row>
    <row r="188" ht="18.0" customHeight="1">
      <c r="A188" s="109"/>
      <c r="B188" s="110"/>
      <c r="C188" s="111"/>
      <c r="D188" s="112"/>
      <c r="E188" s="113"/>
      <c r="F188" s="114"/>
      <c r="G188" s="114"/>
      <c r="H188" s="113"/>
      <c r="I188" s="114"/>
      <c r="J188" s="114"/>
      <c r="K188" s="114"/>
      <c r="L188" s="110"/>
      <c r="M188" s="110"/>
      <c r="N188" s="110"/>
      <c r="O188" s="110"/>
      <c r="P188" s="110"/>
      <c r="Q188" s="110"/>
      <c r="R188" s="110"/>
      <c r="S188" s="110"/>
      <c r="T188" s="112"/>
      <c r="U188" s="5"/>
      <c r="V188" s="5"/>
      <c r="W188" s="5"/>
      <c r="X188" s="5"/>
      <c r="Y188" s="5"/>
      <c r="Z188" s="5"/>
      <c r="AA188" s="112"/>
      <c r="AB188" s="5"/>
      <c r="AC188" s="5"/>
    </row>
    <row r="189" ht="18.0" customHeight="1">
      <c r="A189" s="109"/>
      <c r="B189" s="110"/>
      <c r="C189" s="111"/>
      <c r="D189" s="112"/>
      <c r="E189" s="113"/>
      <c r="F189" s="114"/>
      <c r="G189" s="114"/>
      <c r="H189" s="113"/>
      <c r="I189" s="114"/>
      <c r="J189" s="114"/>
      <c r="K189" s="114"/>
      <c r="L189" s="110"/>
      <c r="M189" s="110"/>
      <c r="N189" s="110"/>
      <c r="O189" s="110"/>
      <c r="P189" s="110"/>
      <c r="Q189" s="110"/>
      <c r="R189" s="110"/>
      <c r="S189" s="110"/>
      <c r="T189" s="112"/>
      <c r="U189" s="5"/>
      <c r="V189" s="5"/>
      <c r="W189" s="5"/>
      <c r="X189" s="5"/>
      <c r="Y189" s="5"/>
      <c r="Z189" s="5"/>
      <c r="AA189" s="112"/>
      <c r="AB189" s="5"/>
      <c r="AC189" s="5"/>
    </row>
    <row r="190" ht="18.0" customHeight="1">
      <c r="A190" s="109"/>
      <c r="B190" s="110"/>
      <c r="C190" s="111"/>
      <c r="D190" s="112"/>
      <c r="E190" s="113"/>
      <c r="F190" s="114"/>
      <c r="G190" s="114"/>
      <c r="H190" s="113"/>
      <c r="I190" s="114"/>
      <c r="J190" s="114"/>
      <c r="K190" s="114"/>
      <c r="L190" s="110"/>
      <c r="M190" s="110"/>
      <c r="N190" s="110"/>
      <c r="O190" s="110"/>
      <c r="P190" s="110"/>
      <c r="Q190" s="110"/>
      <c r="R190" s="110"/>
      <c r="S190" s="110"/>
      <c r="T190" s="112"/>
      <c r="U190" s="5"/>
      <c r="V190" s="5"/>
      <c r="W190" s="5"/>
      <c r="X190" s="5"/>
      <c r="Y190" s="5"/>
      <c r="Z190" s="5"/>
      <c r="AA190" s="112"/>
      <c r="AB190" s="5"/>
      <c r="AC190" s="5"/>
    </row>
    <row r="191" ht="18.0" customHeight="1">
      <c r="A191" s="109"/>
      <c r="B191" s="110"/>
      <c r="C191" s="111"/>
      <c r="D191" s="112"/>
      <c r="E191" s="113"/>
      <c r="F191" s="114"/>
      <c r="G191" s="114"/>
      <c r="H191" s="113"/>
      <c r="I191" s="114"/>
      <c r="J191" s="114"/>
      <c r="K191" s="114"/>
      <c r="L191" s="110"/>
      <c r="M191" s="110"/>
      <c r="N191" s="110"/>
      <c r="O191" s="110"/>
      <c r="P191" s="110"/>
      <c r="Q191" s="110"/>
      <c r="R191" s="110"/>
      <c r="S191" s="110"/>
      <c r="T191" s="112"/>
      <c r="U191" s="5"/>
      <c r="V191" s="5"/>
      <c r="W191" s="5"/>
      <c r="X191" s="5"/>
      <c r="Y191" s="5"/>
      <c r="Z191" s="5"/>
      <c r="AA191" s="112"/>
      <c r="AB191" s="5"/>
      <c r="AC191" s="5"/>
    </row>
    <row r="192" ht="18.0" customHeight="1">
      <c r="A192" s="109"/>
      <c r="B192" s="110"/>
      <c r="C192" s="111"/>
      <c r="D192" s="112"/>
      <c r="E192" s="113"/>
      <c r="F192" s="114"/>
      <c r="G192" s="114"/>
      <c r="H192" s="113"/>
      <c r="I192" s="114"/>
      <c r="J192" s="114"/>
      <c r="K192" s="114"/>
      <c r="L192" s="110"/>
      <c r="M192" s="110"/>
      <c r="N192" s="110"/>
      <c r="O192" s="110"/>
      <c r="P192" s="110"/>
      <c r="Q192" s="110"/>
      <c r="R192" s="110"/>
      <c r="S192" s="110"/>
      <c r="T192" s="112"/>
      <c r="U192" s="5"/>
      <c r="V192" s="5"/>
      <c r="W192" s="5"/>
      <c r="X192" s="5"/>
      <c r="Y192" s="5"/>
      <c r="Z192" s="5"/>
      <c r="AA192" s="112"/>
      <c r="AB192" s="5"/>
      <c r="AC192" s="5"/>
    </row>
    <row r="193" ht="18.0" customHeight="1">
      <c r="A193" s="109"/>
      <c r="B193" s="110"/>
      <c r="C193" s="111"/>
      <c r="D193" s="112"/>
      <c r="E193" s="113"/>
      <c r="F193" s="114"/>
      <c r="G193" s="114"/>
      <c r="H193" s="113"/>
      <c r="I193" s="114"/>
      <c r="J193" s="114"/>
      <c r="K193" s="114"/>
      <c r="L193" s="110"/>
      <c r="M193" s="110"/>
      <c r="N193" s="110"/>
      <c r="O193" s="110"/>
      <c r="P193" s="110"/>
      <c r="Q193" s="110"/>
      <c r="R193" s="110"/>
      <c r="S193" s="110"/>
      <c r="T193" s="112"/>
      <c r="U193" s="5"/>
      <c r="V193" s="5"/>
      <c r="W193" s="5"/>
      <c r="X193" s="5"/>
      <c r="Y193" s="5"/>
      <c r="Z193" s="5"/>
      <c r="AA193" s="112"/>
      <c r="AB193" s="5"/>
      <c r="AC193" s="5"/>
    </row>
    <row r="194" ht="18.0" customHeight="1">
      <c r="A194" s="109"/>
      <c r="B194" s="110"/>
      <c r="C194" s="111"/>
      <c r="D194" s="112"/>
      <c r="E194" s="113"/>
      <c r="F194" s="114"/>
      <c r="G194" s="114"/>
      <c r="H194" s="113"/>
      <c r="I194" s="114"/>
      <c r="J194" s="114"/>
      <c r="K194" s="114"/>
      <c r="L194" s="110"/>
      <c r="M194" s="110"/>
      <c r="N194" s="110"/>
      <c r="O194" s="110"/>
      <c r="P194" s="110"/>
      <c r="Q194" s="110"/>
      <c r="R194" s="110"/>
      <c r="S194" s="110"/>
      <c r="T194" s="112"/>
      <c r="U194" s="5"/>
      <c r="V194" s="5"/>
      <c r="W194" s="5"/>
      <c r="X194" s="5"/>
      <c r="Y194" s="5"/>
      <c r="Z194" s="5"/>
      <c r="AA194" s="112"/>
      <c r="AB194" s="5"/>
      <c r="AC194" s="5"/>
    </row>
    <row r="195" ht="18.0" customHeight="1">
      <c r="A195" s="109"/>
      <c r="B195" s="110"/>
      <c r="C195" s="111"/>
      <c r="D195" s="112"/>
      <c r="E195" s="113"/>
      <c r="F195" s="114"/>
      <c r="G195" s="114"/>
      <c r="H195" s="113"/>
      <c r="I195" s="114"/>
      <c r="J195" s="114"/>
      <c r="K195" s="114"/>
      <c r="L195" s="110"/>
      <c r="M195" s="110"/>
      <c r="N195" s="110"/>
      <c r="O195" s="110"/>
      <c r="P195" s="110"/>
      <c r="Q195" s="110"/>
      <c r="R195" s="110"/>
      <c r="S195" s="110"/>
      <c r="T195" s="112"/>
      <c r="U195" s="5"/>
      <c r="V195" s="5"/>
      <c r="W195" s="5"/>
      <c r="X195" s="5"/>
      <c r="Y195" s="5"/>
      <c r="Z195" s="5"/>
      <c r="AA195" s="112"/>
      <c r="AB195" s="5"/>
      <c r="AC195" s="5"/>
    </row>
    <row r="196" ht="18.0" customHeight="1">
      <c r="A196" s="109"/>
      <c r="B196" s="110"/>
      <c r="C196" s="111"/>
      <c r="D196" s="112"/>
      <c r="E196" s="113"/>
      <c r="F196" s="114"/>
      <c r="G196" s="114"/>
      <c r="H196" s="113"/>
      <c r="I196" s="114"/>
      <c r="J196" s="114"/>
      <c r="K196" s="114"/>
      <c r="L196" s="110"/>
      <c r="M196" s="110"/>
      <c r="N196" s="110"/>
      <c r="O196" s="110"/>
      <c r="P196" s="110"/>
      <c r="Q196" s="110"/>
      <c r="R196" s="110"/>
      <c r="S196" s="110"/>
      <c r="T196" s="112"/>
      <c r="U196" s="5"/>
      <c r="V196" s="5"/>
      <c r="W196" s="5"/>
      <c r="X196" s="5"/>
      <c r="Y196" s="5"/>
      <c r="Z196" s="5"/>
      <c r="AA196" s="112"/>
      <c r="AB196" s="5"/>
      <c r="AC196" s="5"/>
    </row>
    <row r="197" ht="18.0" customHeight="1">
      <c r="A197" s="109"/>
      <c r="B197" s="110"/>
      <c r="C197" s="111"/>
      <c r="D197" s="112"/>
      <c r="E197" s="113"/>
      <c r="F197" s="114"/>
      <c r="G197" s="114"/>
      <c r="H197" s="113"/>
      <c r="I197" s="114"/>
      <c r="J197" s="114"/>
      <c r="K197" s="114"/>
      <c r="L197" s="110"/>
      <c r="M197" s="110"/>
      <c r="N197" s="110"/>
      <c r="O197" s="110"/>
      <c r="P197" s="110"/>
      <c r="Q197" s="110"/>
      <c r="R197" s="110"/>
      <c r="S197" s="110"/>
      <c r="T197" s="112"/>
      <c r="U197" s="5"/>
      <c r="V197" s="5"/>
      <c r="W197" s="5"/>
      <c r="X197" s="5"/>
      <c r="Y197" s="5"/>
      <c r="Z197" s="5"/>
      <c r="AA197" s="112"/>
      <c r="AB197" s="5"/>
      <c r="AC197" s="5"/>
    </row>
    <row r="198" ht="18.0" customHeight="1">
      <c r="A198" s="109"/>
      <c r="B198" s="110"/>
      <c r="C198" s="111"/>
      <c r="D198" s="112"/>
      <c r="E198" s="113"/>
      <c r="F198" s="114"/>
      <c r="G198" s="114"/>
      <c r="H198" s="113"/>
      <c r="I198" s="114"/>
      <c r="J198" s="114"/>
      <c r="K198" s="114"/>
      <c r="L198" s="110"/>
      <c r="M198" s="110"/>
      <c r="N198" s="110"/>
      <c r="O198" s="110"/>
      <c r="P198" s="110"/>
      <c r="Q198" s="110"/>
      <c r="R198" s="110"/>
      <c r="S198" s="110"/>
      <c r="T198" s="112"/>
      <c r="U198" s="5"/>
      <c r="V198" s="5"/>
      <c r="W198" s="5"/>
      <c r="X198" s="5"/>
      <c r="Y198" s="5"/>
      <c r="Z198" s="5"/>
      <c r="AA198" s="112"/>
      <c r="AB198" s="5"/>
      <c r="AC198" s="5"/>
    </row>
    <row r="199" ht="18.0" customHeight="1">
      <c r="A199" s="109"/>
      <c r="B199" s="110"/>
      <c r="C199" s="111"/>
      <c r="D199" s="112"/>
      <c r="E199" s="113"/>
      <c r="F199" s="114"/>
      <c r="G199" s="114"/>
      <c r="H199" s="113"/>
      <c r="I199" s="114"/>
      <c r="J199" s="114"/>
      <c r="K199" s="114"/>
      <c r="L199" s="110"/>
      <c r="M199" s="110"/>
      <c r="N199" s="110"/>
      <c r="O199" s="110"/>
      <c r="P199" s="110"/>
      <c r="Q199" s="110"/>
      <c r="R199" s="110"/>
      <c r="S199" s="110"/>
      <c r="T199" s="112"/>
      <c r="U199" s="5"/>
      <c r="V199" s="5"/>
      <c r="W199" s="5"/>
      <c r="X199" s="5"/>
      <c r="Y199" s="5"/>
      <c r="Z199" s="5"/>
      <c r="AA199" s="112"/>
      <c r="AB199" s="5"/>
      <c r="AC199" s="5"/>
    </row>
    <row r="200" ht="18.0" customHeight="1">
      <c r="A200" s="109"/>
      <c r="B200" s="110"/>
      <c r="C200" s="111"/>
      <c r="D200" s="112"/>
      <c r="E200" s="113"/>
      <c r="F200" s="114"/>
      <c r="G200" s="114"/>
      <c r="H200" s="113"/>
      <c r="I200" s="114"/>
      <c r="J200" s="114"/>
      <c r="K200" s="114"/>
      <c r="L200" s="110"/>
      <c r="M200" s="110"/>
      <c r="N200" s="110"/>
      <c r="O200" s="110"/>
      <c r="P200" s="110"/>
      <c r="Q200" s="110"/>
      <c r="R200" s="110"/>
      <c r="S200" s="110"/>
      <c r="T200" s="112"/>
      <c r="U200" s="5"/>
      <c r="V200" s="5"/>
      <c r="W200" s="5"/>
      <c r="X200" s="5"/>
      <c r="Y200" s="5"/>
      <c r="Z200" s="5"/>
      <c r="AA200" s="112"/>
      <c r="AB200" s="5"/>
      <c r="AC200" s="5"/>
    </row>
    <row r="201" ht="18.0" customHeight="1">
      <c r="A201" s="109"/>
      <c r="B201" s="110"/>
      <c r="C201" s="111"/>
      <c r="D201" s="112"/>
      <c r="E201" s="113"/>
      <c r="F201" s="114"/>
      <c r="G201" s="114"/>
      <c r="H201" s="113"/>
      <c r="I201" s="114"/>
      <c r="J201" s="114"/>
      <c r="K201" s="114"/>
      <c r="L201" s="110"/>
      <c r="M201" s="110"/>
      <c r="N201" s="110"/>
      <c r="O201" s="110"/>
      <c r="P201" s="110"/>
      <c r="Q201" s="110"/>
      <c r="R201" s="110"/>
      <c r="S201" s="110"/>
      <c r="T201" s="112"/>
      <c r="U201" s="5"/>
      <c r="V201" s="5"/>
      <c r="W201" s="5"/>
      <c r="X201" s="5"/>
      <c r="Y201" s="5"/>
      <c r="Z201" s="5"/>
      <c r="AA201" s="112"/>
      <c r="AB201" s="5"/>
      <c r="AC201" s="5"/>
    </row>
    <row r="202" ht="18.0" customHeight="1">
      <c r="A202" s="109"/>
      <c r="B202" s="110"/>
      <c r="C202" s="111"/>
      <c r="D202" s="112"/>
      <c r="E202" s="113"/>
      <c r="F202" s="114"/>
      <c r="G202" s="114"/>
      <c r="H202" s="113"/>
      <c r="I202" s="114"/>
      <c r="J202" s="114"/>
      <c r="K202" s="114"/>
      <c r="L202" s="110"/>
      <c r="M202" s="110"/>
      <c r="N202" s="110"/>
      <c r="O202" s="110"/>
      <c r="P202" s="110"/>
      <c r="Q202" s="110"/>
      <c r="R202" s="110"/>
      <c r="S202" s="110"/>
      <c r="T202" s="112"/>
      <c r="U202" s="5"/>
      <c r="V202" s="5"/>
      <c r="W202" s="5"/>
      <c r="X202" s="5"/>
      <c r="Y202" s="5"/>
      <c r="Z202" s="5"/>
      <c r="AA202" s="112"/>
      <c r="AB202" s="5"/>
      <c r="AC202" s="5"/>
    </row>
    <row r="203" ht="18.0" customHeight="1">
      <c r="A203" s="109"/>
      <c r="B203" s="110"/>
      <c r="C203" s="111"/>
      <c r="D203" s="112"/>
      <c r="E203" s="113"/>
      <c r="F203" s="114"/>
      <c r="G203" s="114"/>
      <c r="H203" s="113"/>
      <c r="I203" s="114"/>
      <c r="J203" s="114"/>
      <c r="K203" s="114"/>
      <c r="L203" s="110"/>
      <c r="M203" s="110"/>
      <c r="N203" s="110"/>
      <c r="O203" s="110"/>
      <c r="P203" s="110"/>
      <c r="Q203" s="110"/>
      <c r="R203" s="110"/>
      <c r="S203" s="110"/>
      <c r="T203" s="112"/>
      <c r="U203" s="5"/>
      <c r="V203" s="5"/>
      <c r="W203" s="5"/>
      <c r="X203" s="5"/>
      <c r="Y203" s="5"/>
      <c r="Z203" s="5"/>
      <c r="AA203" s="112"/>
      <c r="AB203" s="5"/>
      <c r="AC203" s="5"/>
    </row>
    <row r="204" ht="18.0" customHeight="1">
      <c r="A204" s="109"/>
      <c r="B204" s="110"/>
      <c r="C204" s="111"/>
      <c r="D204" s="112"/>
      <c r="E204" s="113"/>
      <c r="F204" s="114"/>
      <c r="G204" s="114"/>
      <c r="H204" s="113"/>
      <c r="I204" s="114"/>
      <c r="J204" s="114"/>
      <c r="K204" s="114"/>
      <c r="L204" s="110"/>
      <c r="M204" s="110"/>
      <c r="N204" s="110"/>
      <c r="O204" s="110"/>
      <c r="P204" s="110"/>
      <c r="Q204" s="110"/>
      <c r="R204" s="110"/>
      <c r="S204" s="110"/>
      <c r="T204" s="112"/>
      <c r="U204" s="5"/>
      <c r="V204" s="5"/>
      <c r="W204" s="5"/>
      <c r="X204" s="5"/>
      <c r="Y204" s="5"/>
      <c r="Z204" s="5"/>
      <c r="AA204" s="112"/>
      <c r="AB204" s="5"/>
      <c r="AC204" s="5"/>
    </row>
    <row r="205" ht="18.0" customHeight="1">
      <c r="A205" s="109"/>
      <c r="B205" s="110"/>
      <c r="C205" s="111"/>
      <c r="D205" s="112"/>
      <c r="E205" s="113"/>
      <c r="F205" s="114"/>
      <c r="G205" s="114"/>
      <c r="H205" s="113"/>
      <c r="I205" s="114"/>
      <c r="J205" s="114"/>
      <c r="K205" s="114"/>
      <c r="L205" s="110"/>
      <c r="M205" s="110"/>
      <c r="N205" s="110"/>
      <c r="O205" s="110"/>
      <c r="P205" s="110"/>
      <c r="Q205" s="110"/>
      <c r="R205" s="110"/>
      <c r="S205" s="110"/>
      <c r="T205" s="112"/>
      <c r="U205" s="5"/>
      <c r="V205" s="5"/>
      <c r="W205" s="5"/>
      <c r="X205" s="5"/>
      <c r="Y205" s="5"/>
      <c r="Z205" s="5"/>
      <c r="AA205" s="112"/>
      <c r="AB205" s="5"/>
      <c r="AC205" s="5"/>
    </row>
    <row r="206" ht="18.0" customHeight="1">
      <c r="A206" s="109"/>
      <c r="B206" s="110"/>
      <c r="C206" s="111"/>
      <c r="D206" s="112"/>
      <c r="E206" s="113"/>
      <c r="F206" s="114"/>
      <c r="G206" s="114"/>
      <c r="H206" s="113"/>
      <c r="I206" s="114"/>
      <c r="J206" s="114"/>
      <c r="K206" s="114"/>
      <c r="L206" s="110"/>
      <c r="M206" s="110"/>
      <c r="N206" s="110"/>
      <c r="O206" s="110"/>
      <c r="P206" s="110"/>
      <c r="Q206" s="110"/>
      <c r="R206" s="110"/>
      <c r="S206" s="110"/>
      <c r="T206" s="112"/>
      <c r="U206" s="5"/>
      <c r="V206" s="5"/>
      <c r="W206" s="5"/>
      <c r="X206" s="5"/>
      <c r="Y206" s="5"/>
      <c r="Z206" s="5"/>
      <c r="AA206" s="112"/>
      <c r="AB206" s="5"/>
      <c r="AC206" s="5"/>
    </row>
    <row r="207" ht="18.0" customHeight="1">
      <c r="A207" s="109"/>
      <c r="B207" s="110"/>
      <c r="C207" s="111"/>
      <c r="D207" s="112"/>
      <c r="E207" s="113"/>
      <c r="F207" s="114"/>
      <c r="G207" s="114"/>
      <c r="H207" s="113"/>
      <c r="I207" s="114"/>
      <c r="J207" s="114"/>
      <c r="K207" s="114"/>
      <c r="L207" s="110"/>
      <c r="M207" s="110"/>
      <c r="N207" s="110"/>
      <c r="O207" s="110"/>
      <c r="P207" s="110"/>
      <c r="Q207" s="110"/>
      <c r="R207" s="110"/>
      <c r="S207" s="110"/>
      <c r="T207" s="112"/>
      <c r="U207" s="5"/>
      <c r="V207" s="5"/>
      <c r="W207" s="5"/>
      <c r="X207" s="5"/>
      <c r="Y207" s="5"/>
      <c r="Z207" s="5"/>
      <c r="AA207" s="112"/>
      <c r="AB207" s="5"/>
      <c r="AC207" s="5"/>
    </row>
    <row r="208" ht="18.0" customHeight="1">
      <c r="A208" s="109"/>
      <c r="B208" s="110"/>
      <c r="C208" s="111"/>
      <c r="D208" s="112"/>
      <c r="E208" s="113"/>
      <c r="F208" s="114"/>
      <c r="G208" s="114"/>
      <c r="H208" s="113"/>
      <c r="I208" s="114"/>
      <c r="J208" s="114"/>
      <c r="K208" s="114"/>
      <c r="L208" s="110"/>
      <c r="M208" s="110"/>
      <c r="N208" s="110"/>
      <c r="O208" s="110"/>
      <c r="P208" s="110"/>
      <c r="Q208" s="110"/>
      <c r="R208" s="110"/>
      <c r="S208" s="110"/>
      <c r="T208" s="112"/>
      <c r="U208" s="5"/>
      <c r="V208" s="5"/>
      <c r="W208" s="5"/>
      <c r="X208" s="5"/>
      <c r="Y208" s="5"/>
      <c r="Z208" s="5"/>
      <c r="AA208" s="112"/>
      <c r="AB208" s="5"/>
      <c r="AC208" s="5"/>
    </row>
    <row r="209" ht="18.0" customHeight="1">
      <c r="A209" s="109"/>
      <c r="B209" s="110"/>
      <c r="C209" s="111"/>
      <c r="D209" s="112"/>
      <c r="E209" s="113"/>
      <c r="F209" s="114"/>
      <c r="G209" s="114"/>
      <c r="H209" s="113"/>
      <c r="I209" s="114"/>
      <c r="J209" s="114"/>
      <c r="K209" s="114"/>
      <c r="L209" s="110"/>
      <c r="M209" s="110"/>
      <c r="N209" s="110"/>
      <c r="O209" s="110"/>
      <c r="P209" s="110"/>
      <c r="Q209" s="110"/>
      <c r="R209" s="110"/>
      <c r="S209" s="110"/>
      <c r="T209" s="112"/>
      <c r="U209" s="5"/>
      <c r="V209" s="5"/>
      <c r="W209" s="5"/>
      <c r="X209" s="5"/>
      <c r="Y209" s="5"/>
      <c r="Z209" s="5"/>
      <c r="AA209" s="112"/>
      <c r="AB209" s="5"/>
      <c r="AC209" s="5"/>
    </row>
    <row r="210" ht="18.0" customHeight="1">
      <c r="A210" s="109"/>
      <c r="B210" s="110"/>
      <c r="C210" s="111"/>
      <c r="D210" s="112"/>
      <c r="E210" s="113"/>
      <c r="F210" s="114"/>
      <c r="G210" s="114"/>
      <c r="H210" s="113"/>
      <c r="I210" s="114"/>
      <c r="J210" s="114"/>
      <c r="K210" s="114"/>
      <c r="L210" s="110"/>
      <c r="M210" s="110"/>
      <c r="N210" s="110"/>
      <c r="O210" s="110"/>
      <c r="P210" s="110"/>
      <c r="Q210" s="110"/>
      <c r="R210" s="110"/>
      <c r="S210" s="110"/>
      <c r="T210" s="112"/>
      <c r="U210" s="5"/>
      <c r="V210" s="5"/>
      <c r="W210" s="5"/>
      <c r="X210" s="5"/>
      <c r="Y210" s="5"/>
      <c r="Z210" s="5"/>
      <c r="AA210" s="112"/>
      <c r="AB210" s="5"/>
      <c r="AC210" s="5"/>
    </row>
    <row r="211" ht="18.0" customHeight="1">
      <c r="A211" s="109"/>
      <c r="B211" s="110"/>
      <c r="C211" s="111"/>
      <c r="D211" s="112"/>
      <c r="E211" s="113"/>
      <c r="F211" s="114"/>
      <c r="G211" s="114"/>
      <c r="H211" s="113"/>
      <c r="I211" s="114"/>
      <c r="J211" s="114"/>
      <c r="K211" s="114"/>
      <c r="L211" s="110"/>
      <c r="M211" s="110"/>
      <c r="N211" s="110"/>
      <c r="O211" s="110"/>
      <c r="P211" s="110"/>
      <c r="Q211" s="110"/>
      <c r="R211" s="110"/>
      <c r="S211" s="110"/>
      <c r="T211" s="112"/>
      <c r="U211" s="5"/>
      <c r="V211" s="5"/>
      <c r="W211" s="5"/>
      <c r="X211" s="5"/>
      <c r="Y211" s="5"/>
      <c r="Z211" s="5"/>
      <c r="AA211" s="112"/>
      <c r="AB211" s="5"/>
      <c r="AC211" s="5"/>
    </row>
    <row r="212" ht="18.0" customHeight="1">
      <c r="A212" s="109"/>
      <c r="B212" s="110"/>
      <c r="C212" s="111"/>
      <c r="D212" s="112"/>
      <c r="E212" s="113"/>
      <c r="F212" s="114"/>
      <c r="G212" s="114"/>
      <c r="H212" s="113"/>
      <c r="I212" s="114"/>
      <c r="J212" s="114"/>
      <c r="K212" s="114"/>
      <c r="L212" s="110"/>
      <c r="M212" s="110"/>
      <c r="N212" s="110"/>
      <c r="O212" s="110"/>
      <c r="P212" s="110"/>
      <c r="Q212" s="110"/>
      <c r="R212" s="110"/>
      <c r="S212" s="110"/>
      <c r="T212" s="112"/>
      <c r="U212" s="5"/>
      <c r="V212" s="5"/>
      <c r="W212" s="5"/>
      <c r="X212" s="5"/>
      <c r="Y212" s="5"/>
      <c r="Z212" s="5"/>
      <c r="AA212" s="112"/>
      <c r="AB212" s="5"/>
      <c r="AC212" s="5"/>
    </row>
    <row r="213" ht="18.0" customHeight="1">
      <c r="A213" s="109"/>
      <c r="B213" s="110"/>
      <c r="C213" s="111"/>
      <c r="D213" s="112"/>
      <c r="E213" s="113"/>
      <c r="F213" s="114"/>
      <c r="G213" s="114"/>
      <c r="H213" s="113"/>
      <c r="I213" s="114"/>
      <c r="J213" s="114"/>
      <c r="K213" s="114"/>
      <c r="L213" s="110"/>
      <c r="M213" s="110"/>
      <c r="N213" s="110"/>
      <c r="O213" s="110"/>
      <c r="P213" s="110"/>
      <c r="Q213" s="110"/>
      <c r="R213" s="110"/>
      <c r="S213" s="110"/>
      <c r="T213" s="112"/>
      <c r="U213" s="5"/>
      <c r="V213" s="5"/>
      <c r="W213" s="5"/>
      <c r="X213" s="5"/>
      <c r="Y213" s="5"/>
      <c r="Z213" s="5"/>
      <c r="AA213" s="112"/>
      <c r="AB213" s="5"/>
      <c r="AC213" s="5"/>
    </row>
    <row r="214" ht="18.0" customHeight="1">
      <c r="A214" s="109"/>
      <c r="B214" s="110"/>
      <c r="C214" s="111"/>
      <c r="D214" s="112"/>
      <c r="E214" s="113"/>
      <c r="F214" s="114"/>
      <c r="G214" s="114"/>
      <c r="H214" s="113"/>
      <c r="I214" s="114"/>
      <c r="J214" s="114"/>
      <c r="K214" s="114"/>
      <c r="L214" s="110"/>
      <c r="M214" s="110"/>
      <c r="N214" s="110"/>
      <c r="O214" s="110"/>
      <c r="P214" s="110"/>
      <c r="Q214" s="110"/>
      <c r="R214" s="110"/>
      <c r="S214" s="110"/>
      <c r="T214" s="112"/>
      <c r="U214" s="5"/>
      <c r="V214" s="5"/>
      <c r="W214" s="5"/>
      <c r="X214" s="5"/>
      <c r="Y214" s="5"/>
      <c r="Z214" s="5"/>
      <c r="AA214" s="112"/>
      <c r="AB214" s="5"/>
      <c r="AC214" s="5"/>
    </row>
    <row r="215" ht="18.0" customHeight="1">
      <c r="A215" s="109"/>
      <c r="B215" s="110"/>
      <c r="C215" s="111"/>
      <c r="D215" s="112"/>
      <c r="E215" s="113"/>
      <c r="F215" s="114"/>
      <c r="G215" s="114"/>
      <c r="H215" s="113"/>
      <c r="I215" s="114"/>
      <c r="J215" s="114"/>
      <c r="K215" s="114"/>
      <c r="L215" s="110"/>
      <c r="M215" s="110"/>
      <c r="N215" s="110"/>
      <c r="O215" s="110"/>
      <c r="P215" s="110"/>
      <c r="Q215" s="110"/>
      <c r="R215" s="110"/>
      <c r="S215" s="110"/>
      <c r="T215" s="112"/>
      <c r="U215" s="5"/>
      <c r="V215" s="5"/>
      <c r="W215" s="5"/>
      <c r="X215" s="5"/>
      <c r="Y215" s="5"/>
      <c r="Z215" s="5"/>
      <c r="AA215" s="112"/>
      <c r="AB215" s="5"/>
      <c r="AC215" s="5"/>
    </row>
    <row r="216" ht="18.0" customHeight="1">
      <c r="A216" s="109"/>
      <c r="B216" s="110"/>
      <c r="C216" s="111"/>
      <c r="D216" s="112"/>
      <c r="E216" s="113"/>
      <c r="F216" s="114"/>
      <c r="G216" s="114"/>
      <c r="H216" s="113"/>
      <c r="I216" s="114"/>
      <c r="J216" s="114"/>
      <c r="K216" s="114"/>
      <c r="L216" s="110"/>
      <c r="M216" s="110"/>
      <c r="N216" s="110"/>
      <c r="O216" s="110"/>
      <c r="P216" s="110"/>
      <c r="Q216" s="110"/>
      <c r="R216" s="110"/>
      <c r="S216" s="110"/>
      <c r="T216" s="112"/>
      <c r="U216" s="5"/>
      <c r="V216" s="5"/>
      <c r="W216" s="5"/>
      <c r="X216" s="5"/>
      <c r="Y216" s="5"/>
      <c r="Z216" s="5"/>
      <c r="AA216" s="112"/>
      <c r="AB216" s="5"/>
      <c r="AC216" s="5"/>
    </row>
    <row r="217" ht="18.0" customHeight="1">
      <c r="A217" s="109"/>
      <c r="B217" s="110"/>
      <c r="C217" s="111"/>
      <c r="D217" s="112"/>
      <c r="E217" s="113"/>
      <c r="F217" s="114"/>
      <c r="G217" s="114"/>
      <c r="H217" s="113"/>
      <c r="I217" s="114"/>
      <c r="J217" s="114"/>
      <c r="K217" s="114"/>
      <c r="L217" s="110"/>
      <c r="M217" s="110"/>
      <c r="N217" s="110"/>
      <c r="O217" s="110"/>
      <c r="P217" s="110"/>
      <c r="Q217" s="110"/>
      <c r="R217" s="110"/>
      <c r="S217" s="110"/>
      <c r="T217" s="112"/>
      <c r="U217" s="5"/>
      <c r="V217" s="5"/>
      <c r="W217" s="5"/>
      <c r="X217" s="5"/>
      <c r="Y217" s="5"/>
      <c r="Z217" s="5"/>
      <c r="AA217" s="112"/>
      <c r="AB217" s="5"/>
      <c r="AC217" s="5"/>
    </row>
    <row r="218" ht="18.0" customHeight="1">
      <c r="A218" s="109"/>
      <c r="B218" s="110"/>
      <c r="C218" s="111"/>
      <c r="D218" s="112"/>
      <c r="E218" s="113"/>
      <c r="F218" s="114"/>
      <c r="G218" s="114"/>
      <c r="H218" s="113"/>
      <c r="I218" s="114"/>
      <c r="J218" s="114"/>
      <c r="K218" s="114"/>
      <c r="L218" s="110"/>
      <c r="M218" s="110"/>
      <c r="N218" s="110"/>
      <c r="O218" s="110"/>
      <c r="P218" s="110"/>
      <c r="Q218" s="110"/>
      <c r="R218" s="110"/>
      <c r="S218" s="110"/>
      <c r="T218" s="112"/>
      <c r="U218" s="5"/>
      <c r="V218" s="5"/>
      <c r="W218" s="5"/>
      <c r="X218" s="5"/>
      <c r="Y218" s="5"/>
      <c r="Z218" s="5"/>
      <c r="AA218" s="112"/>
      <c r="AB218" s="5"/>
      <c r="AC218" s="5"/>
    </row>
    <row r="219" ht="18.0" customHeight="1">
      <c r="A219" s="109"/>
      <c r="B219" s="110"/>
      <c r="C219" s="111"/>
      <c r="D219" s="112"/>
      <c r="E219" s="113"/>
      <c r="F219" s="114"/>
      <c r="G219" s="114"/>
      <c r="H219" s="113"/>
      <c r="I219" s="114"/>
      <c r="J219" s="114"/>
      <c r="K219" s="114"/>
      <c r="L219" s="110"/>
      <c r="M219" s="110"/>
      <c r="N219" s="110"/>
      <c r="O219" s="110"/>
      <c r="P219" s="110"/>
      <c r="Q219" s="110"/>
      <c r="R219" s="110"/>
      <c r="S219" s="110"/>
      <c r="T219" s="112"/>
      <c r="U219" s="5"/>
      <c r="V219" s="5"/>
      <c r="W219" s="5"/>
      <c r="X219" s="5"/>
      <c r="Y219" s="5"/>
      <c r="Z219" s="5"/>
      <c r="AA219" s="112"/>
      <c r="AB219" s="5"/>
      <c r="AC219" s="5"/>
    </row>
    <row r="220" ht="18.0" customHeight="1">
      <c r="A220" s="109"/>
      <c r="B220" s="110"/>
      <c r="C220" s="111"/>
      <c r="D220" s="112"/>
      <c r="E220" s="113"/>
      <c r="F220" s="114"/>
      <c r="G220" s="114"/>
      <c r="H220" s="113"/>
      <c r="I220" s="114"/>
      <c r="J220" s="114"/>
      <c r="K220" s="114"/>
      <c r="L220" s="110"/>
      <c r="M220" s="110"/>
      <c r="N220" s="110"/>
      <c r="O220" s="110"/>
      <c r="P220" s="110"/>
      <c r="Q220" s="110"/>
      <c r="R220" s="110"/>
      <c r="S220" s="110"/>
      <c r="T220" s="112"/>
      <c r="U220" s="5"/>
      <c r="V220" s="5"/>
      <c r="W220" s="5"/>
      <c r="X220" s="5"/>
      <c r="Y220" s="5"/>
      <c r="Z220" s="5"/>
      <c r="AA220" s="112"/>
      <c r="AB220" s="5"/>
      <c r="AC220" s="5"/>
    </row>
    <row r="221" ht="18.0" customHeight="1">
      <c r="A221" s="109"/>
      <c r="B221" s="110"/>
      <c r="C221" s="111"/>
      <c r="D221" s="112"/>
      <c r="E221" s="113"/>
      <c r="F221" s="114"/>
      <c r="G221" s="114"/>
      <c r="H221" s="113"/>
      <c r="I221" s="114"/>
      <c r="J221" s="114"/>
      <c r="K221" s="114"/>
      <c r="L221" s="110"/>
      <c r="M221" s="110"/>
      <c r="N221" s="110"/>
      <c r="O221" s="110"/>
      <c r="P221" s="110"/>
      <c r="Q221" s="110"/>
      <c r="R221" s="110"/>
      <c r="S221" s="110"/>
      <c r="T221" s="112"/>
      <c r="U221" s="5"/>
      <c r="V221" s="5"/>
      <c r="W221" s="5"/>
      <c r="X221" s="5"/>
      <c r="Y221" s="5"/>
      <c r="Z221" s="5"/>
      <c r="AA221" s="112"/>
      <c r="AB221" s="5"/>
      <c r="AC221" s="5"/>
    </row>
    <row r="222" ht="18.0" customHeight="1">
      <c r="A222" s="109"/>
      <c r="B222" s="110"/>
      <c r="C222" s="111"/>
      <c r="D222" s="112"/>
      <c r="E222" s="113"/>
      <c r="F222" s="114"/>
      <c r="G222" s="114"/>
      <c r="H222" s="113"/>
      <c r="I222" s="114"/>
      <c r="J222" s="114"/>
      <c r="K222" s="114"/>
      <c r="L222" s="110"/>
      <c r="M222" s="110"/>
      <c r="N222" s="110"/>
      <c r="O222" s="110"/>
      <c r="P222" s="110"/>
      <c r="Q222" s="110"/>
      <c r="R222" s="110"/>
      <c r="S222" s="110"/>
      <c r="T222" s="112"/>
      <c r="U222" s="5"/>
      <c r="V222" s="5"/>
      <c r="W222" s="5"/>
      <c r="X222" s="5"/>
      <c r="Y222" s="5"/>
      <c r="Z222" s="5"/>
      <c r="AA222" s="112"/>
      <c r="AB222" s="5"/>
      <c r="AC222" s="5"/>
    </row>
    <row r="223" ht="18.0" customHeight="1">
      <c r="A223" s="109"/>
      <c r="B223" s="110"/>
      <c r="C223" s="111"/>
      <c r="D223" s="112"/>
      <c r="E223" s="113"/>
      <c r="F223" s="114"/>
      <c r="G223" s="114"/>
      <c r="H223" s="113"/>
      <c r="I223" s="114"/>
      <c r="J223" s="114"/>
      <c r="K223" s="114"/>
      <c r="L223" s="110"/>
      <c r="M223" s="110"/>
      <c r="N223" s="110"/>
      <c r="O223" s="110"/>
      <c r="P223" s="110"/>
      <c r="Q223" s="110"/>
      <c r="R223" s="110"/>
      <c r="S223" s="110"/>
      <c r="T223" s="112"/>
      <c r="U223" s="5"/>
      <c r="V223" s="5"/>
      <c r="W223" s="5"/>
      <c r="X223" s="5"/>
      <c r="Y223" s="5"/>
      <c r="Z223" s="5"/>
      <c r="AA223" s="112"/>
      <c r="AB223" s="5"/>
      <c r="AC223" s="5"/>
    </row>
    <row r="224" ht="18.0" customHeight="1">
      <c r="A224" s="109"/>
      <c r="B224" s="110"/>
      <c r="C224" s="111"/>
      <c r="D224" s="112"/>
      <c r="E224" s="113"/>
      <c r="F224" s="114"/>
      <c r="G224" s="114"/>
      <c r="H224" s="113"/>
      <c r="I224" s="114"/>
      <c r="J224" s="114"/>
      <c r="K224" s="114"/>
      <c r="L224" s="110"/>
      <c r="M224" s="110"/>
      <c r="N224" s="110"/>
      <c r="O224" s="110"/>
      <c r="P224" s="110"/>
      <c r="Q224" s="110"/>
      <c r="R224" s="110"/>
      <c r="S224" s="110"/>
      <c r="T224" s="112"/>
      <c r="U224" s="5"/>
      <c r="V224" s="5"/>
      <c r="W224" s="5"/>
      <c r="X224" s="5"/>
      <c r="Y224" s="5"/>
      <c r="Z224" s="5"/>
      <c r="AA224" s="112"/>
      <c r="AB224" s="5"/>
      <c r="AC224" s="5"/>
    </row>
    <row r="225" ht="18.0" customHeight="1">
      <c r="A225" s="109"/>
      <c r="B225" s="110"/>
      <c r="C225" s="111"/>
      <c r="D225" s="112"/>
      <c r="E225" s="113"/>
      <c r="F225" s="114"/>
      <c r="G225" s="114"/>
      <c r="H225" s="113"/>
      <c r="I225" s="114"/>
      <c r="J225" s="114"/>
      <c r="K225" s="114"/>
      <c r="L225" s="110"/>
      <c r="M225" s="110"/>
      <c r="N225" s="110"/>
      <c r="O225" s="110"/>
      <c r="P225" s="110"/>
      <c r="Q225" s="110"/>
      <c r="R225" s="110"/>
      <c r="S225" s="110"/>
      <c r="T225" s="112"/>
      <c r="U225" s="5"/>
      <c r="V225" s="5"/>
      <c r="W225" s="5"/>
      <c r="X225" s="5"/>
      <c r="Y225" s="5"/>
      <c r="Z225" s="5"/>
      <c r="AA225" s="112"/>
      <c r="AB225" s="5"/>
      <c r="AC225" s="5"/>
    </row>
    <row r="226" ht="18.0" customHeight="1">
      <c r="A226" s="109"/>
      <c r="B226" s="110"/>
      <c r="C226" s="111"/>
      <c r="D226" s="112"/>
      <c r="E226" s="113"/>
      <c r="F226" s="114"/>
      <c r="G226" s="114"/>
      <c r="H226" s="113"/>
      <c r="I226" s="114"/>
      <c r="J226" s="114"/>
      <c r="K226" s="114"/>
      <c r="L226" s="110"/>
      <c r="M226" s="110"/>
      <c r="N226" s="110"/>
      <c r="O226" s="110"/>
      <c r="P226" s="110"/>
      <c r="Q226" s="110"/>
      <c r="R226" s="110"/>
      <c r="S226" s="110"/>
      <c r="T226" s="112"/>
      <c r="U226" s="5"/>
      <c r="V226" s="5"/>
      <c r="W226" s="5"/>
      <c r="X226" s="5"/>
      <c r="Y226" s="5"/>
      <c r="Z226" s="5"/>
      <c r="AA226" s="112"/>
      <c r="AB226" s="5"/>
      <c r="AC226" s="5"/>
    </row>
    <row r="227" ht="18.0" customHeight="1">
      <c r="A227" s="109"/>
      <c r="B227" s="110"/>
      <c r="C227" s="111"/>
      <c r="D227" s="112"/>
      <c r="E227" s="113"/>
      <c r="F227" s="114"/>
      <c r="G227" s="114"/>
      <c r="H227" s="113"/>
      <c r="I227" s="114"/>
      <c r="J227" s="114"/>
      <c r="K227" s="114"/>
      <c r="L227" s="110"/>
      <c r="M227" s="110"/>
      <c r="N227" s="110"/>
      <c r="O227" s="110"/>
      <c r="P227" s="110"/>
      <c r="Q227" s="110"/>
      <c r="R227" s="110"/>
      <c r="S227" s="110"/>
      <c r="T227" s="112"/>
      <c r="U227" s="5"/>
      <c r="V227" s="5"/>
      <c r="W227" s="5"/>
      <c r="X227" s="5"/>
      <c r="Y227" s="5"/>
      <c r="Z227" s="5"/>
      <c r="AA227" s="112"/>
      <c r="AB227" s="5"/>
      <c r="AC227" s="5"/>
    </row>
    <row r="228" ht="18.0" customHeight="1">
      <c r="A228" s="109"/>
      <c r="B228" s="110"/>
      <c r="C228" s="111"/>
      <c r="D228" s="112"/>
      <c r="E228" s="113"/>
      <c r="F228" s="114"/>
      <c r="G228" s="114"/>
      <c r="H228" s="113"/>
      <c r="I228" s="114"/>
      <c r="J228" s="114"/>
      <c r="K228" s="114"/>
      <c r="L228" s="110"/>
      <c r="M228" s="110"/>
      <c r="N228" s="110"/>
      <c r="O228" s="110"/>
      <c r="P228" s="110"/>
      <c r="Q228" s="110"/>
      <c r="R228" s="110"/>
      <c r="S228" s="110"/>
      <c r="T228" s="112"/>
      <c r="U228" s="5"/>
      <c r="V228" s="5"/>
      <c r="W228" s="5"/>
      <c r="X228" s="5"/>
      <c r="Y228" s="5"/>
      <c r="Z228" s="5"/>
      <c r="AA228" s="112"/>
      <c r="AB228" s="5"/>
      <c r="AC228" s="5"/>
    </row>
    <row r="229" ht="18.0" customHeight="1">
      <c r="A229" s="109"/>
      <c r="B229" s="5"/>
      <c r="C229" s="5"/>
      <c r="D229" s="112"/>
      <c r="E229" s="113"/>
      <c r="F229" s="114"/>
      <c r="G229" s="114"/>
      <c r="H229" s="113"/>
      <c r="I229" s="114"/>
      <c r="J229" s="114"/>
      <c r="K229" s="114"/>
      <c r="L229" s="110"/>
      <c r="M229" s="110"/>
      <c r="N229" s="110"/>
      <c r="O229" s="110"/>
      <c r="P229" s="110"/>
      <c r="Q229" s="110"/>
      <c r="R229" s="110"/>
      <c r="S229" s="110"/>
      <c r="T229" s="112"/>
      <c r="U229" s="5"/>
      <c r="V229" s="5"/>
      <c r="W229" s="5"/>
      <c r="X229" s="5"/>
      <c r="Y229" s="5"/>
      <c r="Z229" s="5"/>
      <c r="AA229" s="112"/>
      <c r="AB229" s="5"/>
      <c r="AC229" s="5"/>
    </row>
    <row r="230" ht="18.0" customHeight="1">
      <c r="A230" s="109"/>
      <c r="B230" s="5"/>
      <c r="C230" s="5"/>
      <c r="D230" s="112"/>
      <c r="E230" s="113"/>
      <c r="F230" s="114"/>
      <c r="G230" s="114"/>
      <c r="H230" s="113"/>
      <c r="I230" s="114"/>
      <c r="J230" s="114"/>
      <c r="K230" s="114"/>
      <c r="L230" s="110"/>
      <c r="M230" s="110"/>
      <c r="N230" s="110"/>
      <c r="O230" s="110"/>
      <c r="P230" s="110"/>
      <c r="Q230" s="110"/>
      <c r="R230" s="110"/>
      <c r="S230" s="110"/>
      <c r="T230" s="112"/>
      <c r="U230" s="5"/>
      <c r="V230" s="5"/>
      <c r="W230" s="5"/>
      <c r="X230" s="5"/>
      <c r="Y230" s="5"/>
      <c r="Z230" s="5"/>
      <c r="AA230" s="112"/>
      <c r="AB230" s="5"/>
      <c r="AC230" s="5"/>
    </row>
    <row r="231" ht="18.0" customHeight="1">
      <c r="A231" s="109"/>
      <c r="B231" s="5"/>
      <c r="C231" s="5"/>
      <c r="D231" s="112"/>
      <c r="E231" s="113"/>
      <c r="F231" s="114"/>
      <c r="G231" s="114"/>
      <c r="H231" s="113"/>
      <c r="I231" s="114"/>
      <c r="J231" s="114"/>
      <c r="K231" s="114"/>
      <c r="L231" s="110"/>
      <c r="M231" s="110"/>
      <c r="N231" s="110"/>
      <c r="O231" s="110"/>
      <c r="P231" s="110"/>
      <c r="Q231" s="110"/>
      <c r="R231" s="110"/>
      <c r="S231" s="110"/>
      <c r="T231" s="112"/>
      <c r="U231" s="5"/>
      <c r="V231" s="5"/>
      <c r="W231" s="5"/>
      <c r="X231" s="5"/>
      <c r="Y231" s="5"/>
      <c r="Z231" s="5"/>
      <c r="AA231" s="5"/>
      <c r="AB231" s="5"/>
      <c r="AC231" s="5"/>
    </row>
    <row r="232" ht="18.0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</row>
    <row r="233" ht="18.0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</row>
    <row r="234" ht="18.0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 ht="18.0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</row>
    <row r="236" ht="18.0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</row>
    <row r="237" ht="18.0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</row>
    <row r="238" ht="18.0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</row>
    <row r="239" ht="18.0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</row>
    <row r="240" ht="18.0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</row>
    <row r="241" ht="18.0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 ht="18.0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</row>
    <row r="243" ht="18.0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</row>
    <row r="244" ht="18.0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</row>
    <row r="245" ht="18.0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</row>
    <row r="246" ht="18.0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</row>
    <row r="247" ht="18.0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</row>
    <row r="248" ht="18.0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 ht="18.0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</row>
    <row r="250" ht="18.0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</row>
    <row r="251" ht="18.0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</row>
    <row r="252" ht="18.0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</row>
    <row r="253" ht="18.0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</row>
    <row r="254" ht="18.0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</row>
    <row r="255" ht="18.0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 ht="18.0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</row>
    <row r="257" ht="18.0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</row>
    <row r="258" ht="18.0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</row>
    <row r="259" ht="18.0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</row>
    <row r="260" ht="18.0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</row>
    <row r="261" ht="18.0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</row>
    <row r="262" ht="18.0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 ht="18.0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</row>
    <row r="264" ht="18.0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</row>
    <row r="265" ht="18.0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</row>
    <row r="266" ht="18.0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ht="18.0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ht="18.0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ht="18.0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ht="18.0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ht="18.0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ht="18.0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ht="18.0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ht="18.0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ht="18.0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ht="18.0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ht="18.0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ht="18.0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ht="18.0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ht="18.0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ht="18.0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ht="18.0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ht="18.0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ht="18.0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ht="18.0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ht="18.0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ht="18.0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ht="18.0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ht="18.0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ht="18.0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ht="18.0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ht="18.0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ht="18.0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ht="18.0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ht="18.0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ht="18.0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ht="18.0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ht="18.0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ht="18.0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ht="18.0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ht="18.0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ht="18.0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ht="18.0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ht="18.0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ht="18.0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ht="18.0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ht="18.0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ht="18.0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ht="18.0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ht="18.0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ht="18.0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ht="18.0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ht="18.0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ht="18.0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ht="18.0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ht="18.0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ht="18.0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ht="18.0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ht="18.0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ht="18.0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ht="18.0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ht="18.0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ht="18.0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ht="18.0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ht="18.0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ht="18.0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ht="18.0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ht="18.0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ht="18.0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ht="18.0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ht="18.0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ht="18.0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ht="18.0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ht="18.0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ht="18.0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ht="18.0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ht="18.0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ht="18.0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ht="18.0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ht="18.0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ht="18.0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ht="18.0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ht="18.0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ht="18.0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ht="18.0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ht="18.0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ht="18.0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ht="18.0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ht="18.0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ht="18.0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ht="18.0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ht="18.0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ht="18.0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ht="18.0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ht="18.0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ht="18.0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ht="18.0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ht="18.0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ht="18.0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ht="18.0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ht="18.0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ht="18.0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ht="18.0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ht="18.0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ht="18.0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ht="18.0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ht="18.0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ht="18.0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ht="18.0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ht="18.0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ht="18.0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ht="18.0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ht="18.0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ht="18.0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ht="18.0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ht="18.0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ht="18.0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ht="18.0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ht="18.0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ht="18.0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ht="18.0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ht="18.0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ht="18.0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ht="18.0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ht="18.0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ht="18.0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ht="18.0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ht="18.0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ht="18.0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ht="18.0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ht="18.0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ht="18.0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ht="18.0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ht="18.0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ht="18.0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ht="18.0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ht="18.0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ht="18.0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ht="18.0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ht="18.0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ht="18.0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ht="18.0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ht="18.0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ht="18.0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ht="18.0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ht="18.0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ht="18.0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ht="18.0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ht="18.0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ht="18.0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ht="18.0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ht="18.0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ht="18.0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ht="18.0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ht="18.0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ht="18.0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ht="18.0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ht="18.0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ht="18.0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ht="18.0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ht="18.0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ht="18.0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ht="18.0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ht="18.0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ht="18.0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ht="18.0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ht="18.0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ht="18.0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ht="18.0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ht="18.0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ht="18.0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ht="18.0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ht="18.0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ht="18.0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ht="18.0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ht="18.0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ht="18.0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ht="18.0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ht="18.0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ht="18.0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ht="18.0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ht="18.0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ht="18.0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ht="18.0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ht="18.0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ht="18.0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ht="18.0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ht="18.0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ht="18.0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ht="18.0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ht="18.0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ht="18.0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ht="18.0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ht="18.0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ht="18.0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ht="18.0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ht="18.0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ht="18.0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ht="18.0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ht="18.0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ht="18.0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ht="18.0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ht="18.0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ht="18.0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ht="18.0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ht="18.0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ht="18.0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ht="18.0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ht="18.0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ht="18.0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ht="18.0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ht="18.0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ht="18.0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ht="18.0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ht="18.0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ht="18.0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ht="18.0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ht="18.0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ht="18.0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ht="18.0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ht="18.0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ht="18.0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ht="18.0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ht="18.0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ht="18.0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ht="18.0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ht="18.0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ht="18.0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ht="18.0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ht="18.0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ht="18.0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ht="18.0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ht="18.0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ht="18.0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ht="18.0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ht="18.0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ht="18.0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ht="18.0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ht="18.0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ht="18.0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ht="18.0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ht="18.0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ht="18.0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ht="18.0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ht="18.0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ht="18.0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ht="18.0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ht="18.0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ht="18.0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ht="18.0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ht="18.0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ht="18.0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ht="18.0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ht="18.0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ht="18.0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ht="18.0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ht="18.0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ht="18.0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ht="18.0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ht="18.0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ht="18.0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ht="18.0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ht="18.0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ht="18.0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ht="18.0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ht="18.0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ht="18.0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ht="18.0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ht="18.0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ht="18.0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ht="18.0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ht="18.0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ht="18.0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ht="18.0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ht="18.0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ht="18.0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ht="18.0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ht="18.0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ht="18.0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ht="18.0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ht="18.0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ht="18.0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ht="18.0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ht="18.0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ht="18.0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ht="18.0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ht="18.0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ht="18.0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ht="18.0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ht="18.0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ht="18.0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ht="18.0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ht="18.0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ht="18.0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ht="18.0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ht="18.0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ht="18.0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ht="18.0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ht="18.0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ht="18.0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ht="18.0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ht="18.0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ht="18.0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ht="18.0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ht="18.0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ht="18.0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ht="18.0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ht="18.0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ht="18.0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ht="18.0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ht="18.0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ht="18.0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ht="18.0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ht="18.0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ht="18.0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ht="18.0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ht="18.0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ht="18.0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ht="18.0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ht="18.0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ht="18.0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ht="18.0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ht="18.0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ht="18.0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ht="18.0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ht="18.0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ht="18.0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ht="18.0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ht="18.0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ht="18.0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ht="18.0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ht="18.0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ht="18.0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ht="18.0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ht="18.0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ht="18.0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ht="18.0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ht="18.0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ht="18.0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ht="18.0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ht="18.0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ht="18.0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ht="18.0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ht="18.0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ht="18.0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ht="18.0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ht="18.0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ht="18.0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ht="18.0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ht="18.0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ht="18.0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ht="18.0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ht="18.0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ht="18.0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ht="18.0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ht="18.0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ht="18.0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ht="18.0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ht="18.0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ht="18.0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ht="18.0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ht="18.0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ht="18.0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ht="18.0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ht="18.0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ht="18.0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ht="18.0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ht="18.0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ht="18.0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ht="18.0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ht="18.0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ht="18.0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ht="18.0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ht="18.0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ht="18.0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ht="18.0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ht="18.0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ht="18.0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ht="18.0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ht="18.0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ht="18.0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ht="18.0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ht="18.0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ht="18.0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ht="18.0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ht="18.0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ht="18.0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ht="18.0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ht="18.0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ht="18.0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ht="18.0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ht="18.0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ht="18.0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ht="18.0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ht="18.0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ht="18.0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ht="18.0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ht="18.0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ht="18.0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ht="18.0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ht="18.0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ht="18.0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ht="18.0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ht="18.0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ht="18.0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ht="18.0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ht="18.0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ht="18.0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ht="18.0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ht="18.0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ht="18.0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ht="18.0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ht="18.0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ht="18.0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ht="18.0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ht="18.0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ht="18.0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ht="18.0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ht="18.0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ht="18.0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ht="18.0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ht="18.0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ht="18.0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ht="18.0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ht="18.0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ht="18.0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ht="18.0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ht="18.0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ht="18.0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ht="18.0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ht="18.0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ht="18.0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ht="18.0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ht="18.0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ht="18.0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ht="18.0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ht="18.0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ht="18.0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ht="18.0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ht="18.0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ht="18.0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ht="18.0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ht="18.0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ht="18.0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ht="18.0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ht="18.0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ht="18.0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ht="18.0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ht="18.0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ht="18.0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ht="18.0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ht="18.0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ht="18.0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ht="18.0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ht="18.0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ht="18.0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ht="18.0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ht="18.0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ht="18.0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ht="18.0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ht="18.0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ht="18.0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ht="18.0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ht="18.0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ht="18.0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ht="18.0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ht="18.0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ht="18.0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ht="18.0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ht="18.0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ht="18.0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ht="18.0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ht="18.0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ht="18.0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ht="18.0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ht="18.0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ht="18.0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ht="18.0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ht="18.0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ht="18.0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ht="18.0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ht="18.0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ht="18.0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ht="18.0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ht="18.0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ht="18.0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ht="18.0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ht="18.0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ht="18.0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ht="18.0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ht="18.0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ht="18.0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ht="18.0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ht="18.0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ht="18.0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ht="18.0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ht="18.0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ht="18.0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ht="18.0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ht="18.0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ht="18.0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ht="18.0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ht="18.0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ht="18.0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ht="18.0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ht="18.0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ht="18.0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ht="18.0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ht="18.0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ht="18.0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ht="18.0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ht="18.0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ht="18.0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ht="18.0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ht="18.0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ht="18.0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ht="18.0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ht="18.0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ht="18.0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ht="18.0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ht="18.0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ht="18.0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ht="18.0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ht="18.0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ht="18.0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ht="18.0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ht="18.0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ht="18.0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ht="18.0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ht="18.0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ht="18.0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ht="18.0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ht="18.0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ht="18.0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ht="18.0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ht="18.0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ht="18.0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ht="18.0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ht="18.0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ht="18.0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ht="18.0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ht="18.0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ht="18.0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ht="18.0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ht="18.0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ht="18.0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ht="18.0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ht="18.0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ht="18.0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ht="18.0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ht="18.0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ht="18.0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ht="18.0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ht="18.0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ht="18.0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ht="18.0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ht="18.0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ht="18.0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ht="18.0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ht="18.0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ht="18.0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ht="18.0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ht="18.0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ht="18.0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ht="18.0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ht="18.0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ht="18.0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ht="18.0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ht="18.0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ht="18.0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ht="18.0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ht="18.0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ht="18.0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ht="18.0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ht="18.0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ht="18.0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ht="18.0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ht="18.0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ht="18.0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ht="18.0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ht="18.0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ht="18.0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ht="18.0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ht="18.0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ht="18.0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ht="18.0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ht="18.0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ht="18.0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ht="18.0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ht="18.0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 ht="18.0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</row>
    <row r="852" ht="18.0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</row>
    <row r="853" ht="18.0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</row>
    <row r="854" ht="18.0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</row>
    <row r="855" ht="18.0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</row>
    <row r="856" ht="18.0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</row>
    <row r="857" ht="18.0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 ht="18.0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</row>
    <row r="859" ht="18.0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</row>
    <row r="860" ht="18.0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</row>
    <row r="861" ht="18.0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</row>
    <row r="862" ht="18.0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</row>
    <row r="863" ht="18.0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</row>
    <row r="864" ht="18.0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 ht="18.0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</row>
    <row r="866" ht="18.0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</row>
    <row r="867" ht="18.0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</row>
    <row r="868" ht="18.0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</row>
    <row r="869" ht="18.0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</row>
    <row r="870" ht="18.0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</row>
    <row r="871" ht="18.0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 ht="18.0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</row>
    <row r="873" ht="18.0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</row>
    <row r="874" ht="18.0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</row>
    <row r="875" ht="18.0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</row>
    <row r="876" ht="18.0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</row>
    <row r="877" ht="18.0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</row>
    <row r="878" ht="18.0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 ht="18.0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</row>
    <row r="880" ht="18.0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</row>
    <row r="881" ht="18.0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</row>
    <row r="882" ht="18.0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</row>
    <row r="883" ht="18.0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</row>
    <row r="884" ht="18.0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</row>
    <row r="885" ht="18.0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 ht="18.0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</row>
    <row r="887" ht="18.0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</row>
    <row r="888" ht="18.0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</row>
    <row r="889" ht="18.0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</row>
    <row r="890" ht="18.0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</row>
    <row r="891" ht="18.0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</row>
    <row r="892" ht="18.0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 ht="18.0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</row>
    <row r="894" ht="18.0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</row>
    <row r="895" ht="18.0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</row>
    <row r="896" ht="18.0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</row>
    <row r="897" ht="18.0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</row>
    <row r="898" ht="18.0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</row>
    <row r="899" ht="18.0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 ht="18.0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</row>
    <row r="901" ht="18.0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</row>
    <row r="902" ht="18.0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</row>
    <row r="903" ht="18.0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</row>
    <row r="904" ht="18.0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</row>
    <row r="905" ht="18.0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</row>
    <row r="906" ht="18.0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 ht="18.0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</row>
    <row r="908" ht="18.0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</row>
    <row r="909" ht="18.0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</row>
    <row r="910" ht="18.0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</row>
    <row r="911" ht="18.0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</row>
    <row r="912" ht="18.0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</row>
    <row r="913" ht="18.0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 ht="18.0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</row>
    <row r="915" ht="18.0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</row>
    <row r="916" ht="18.0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</row>
    <row r="917" ht="18.0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</row>
    <row r="918" ht="18.0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</row>
    <row r="919" ht="18.0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</row>
    <row r="920" ht="18.0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 ht="18.0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</row>
    <row r="922" ht="18.0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</row>
    <row r="923" ht="18.0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</row>
    <row r="924" ht="18.0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</row>
    <row r="925" ht="18.0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</row>
    <row r="926" ht="18.0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</row>
    <row r="927" ht="18.0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 ht="18.0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</row>
    <row r="929" ht="18.0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</row>
    <row r="930" ht="18.0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</row>
    <row r="931" ht="18.0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</row>
    <row r="932" ht="18.0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</row>
    <row r="933" ht="18.0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</row>
    <row r="934" ht="18.0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 ht="18.0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</row>
    <row r="936" ht="18.0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</row>
    <row r="937" ht="18.0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</row>
    <row r="938" ht="18.0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</row>
    <row r="939" ht="18.0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</row>
    <row r="940" ht="18.0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</row>
    <row r="941" ht="18.0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 ht="18.0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</row>
    <row r="943" ht="18.0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</row>
    <row r="944" ht="18.0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</row>
    <row r="945" ht="18.0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</row>
    <row r="946" ht="18.0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</row>
    <row r="947" ht="18.0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</row>
    <row r="948" ht="18.0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 ht="18.0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</row>
    <row r="950" ht="18.0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</row>
    <row r="951" ht="18.0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</row>
    <row r="952" ht="18.0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</row>
    <row r="953" ht="18.0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</row>
    <row r="954" ht="18.0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</row>
    <row r="955" ht="18.0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</row>
    <row r="956" ht="18.0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</row>
    <row r="957" ht="18.0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</row>
    <row r="958" ht="18.0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</row>
    <row r="959" ht="18.0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</row>
    <row r="960" ht="18.0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</row>
    <row r="961" ht="18.0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</row>
    <row r="962" ht="18.0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</row>
    <row r="963" ht="18.0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</row>
    <row r="964" ht="18.0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</row>
    <row r="965" ht="18.0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</row>
    <row r="966" ht="18.0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</row>
    <row r="967" ht="18.0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</row>
    <row r="968" ht="18.0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</row>
    <row r="969" ht="18.0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</row>
    <row r="970" ht="18.0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</row>
    <row r="971" ht="18.0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</row>
    <row r="972" ht="18.0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</row>
    <row r="973" ht="18.0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</row>
    <row r="974" ht="18.0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</row>
    <row r="975" ht="18.0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</row>
    <row r="976" ht="18.0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</row>
    <row r="977" ht="18.0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</row>
    <row r="978" ht="18.0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</row>
    <row r="979" ht="18.0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</row>
    <row r="980" ht="18.0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</row>
    <row r="981" ht="18.0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</row>
    <row r="982" ht="18.0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</row>
    <row r="983" ht="18.0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</row>
    <row r="984" ht="18.0" customHeight="1">
      <c r="A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</row>
    <row r="985" ht="18.0" customHeight="1">
      <c r="A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</row>
    <row r="986" ht="18.0" customHeight="1">
      <c r="A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</row>
    <row r="987" ht="18.0" customHeight="1">
      <c r="A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</row>
    <row r="988" ht="18.0" customHeight="1">
      <c r="A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</row>
    <row r="989" ht="18.0" customHeight="1">
      <c r="A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</row>
    <row r="990" ht="18.0" customHeight="1">
      <c r="A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</row>
  </sheetData>
  <mergeCells count="9">
    <mergeCell ref="B5:C5"/>
    <mergeCell ref="B6:C7"/>
    <mergeCell ref="B2:B3"/>
    <mergeCell ref="C2:C3"/>
    <mergeCell ref="E2:M3"/>
    <mergeCell ref="U2:W3"/>
    <mergeCell ref="X2:Z3"/>
    <mergeCell ref="E5:S5"/>
    <mergeCell ref="U5:Z5"/>
  </mergeCells>
  <conditionalFormatting sqref="X4:Z4 X2">
    <cfRule type="cellIs" dxfId="0" priority="1" operator="greaterThan">
      <formula>0</formula>
    </cfRule>
  </conditionalFormatting>
  <conditionalFormatting sqref="X4:Z4 X2">
    <cfRule type="cellIs" dxfId="1" priority="2" operator="lessThan">
      <formula>0</formula>
    </cfRule>
  </conditionalFormatting>
  <conditionalFormatting sqref="B16">
    <cfRule type="cellIs" dxfId="0" priority="3" operator="greaterThan">
      <formula>0</formula>
    </cfRule>
  </conditionalFormatting>
  <conditionalFormatting sqref="B16">
    <cfRule type="cellIs" dxfId="1" priority="4" operator="lessThan">
      <formula>0</formula>
    </cfRule>
  </conditionalFormatting>
  <conditionalFormatting sqref="B19">
    <cfRule type="cellIs" dxfId="0" priority="5" operator="greaterThan">
      <formula>0</formula>
    </cfRule>
  </conditionalFormatting>
  <conditionalFormatting sqref="B19">
    <cfRule type="cellIs" dxfId="1" priority="6" operator="lessThan">
      <formula>0</formula>
    </cfRule>
  </conditionalFormatting>
  <conditionalFormatting sqref="B22">
    <cfRule type="cellIs" dxfId="0" priority="7" operator="greaterThan">
      <formula>0</formula>
    </cfRule>
  </conditionalFormatting>
  <conditionalFormatting sqref="B22">
    <cfRule type="cellIs" dxfId="1" priority="8" operator="lessThan">
      <formula>0</formula>
    </cfRule>
  </conditionalFormatting>
  <conditionalFormatting sqref="B25">
    <cfRule type="cellIs" dxfId="0" priority="9" operator="greaterThan">
      <formula>0</formula>
    </cfRule>
  </conditionalFormatting>
  <conditionalFormatting sqref="B25">
    <cfRule type="cellIs" dxfId="1" priority="10" operator="lessThan">
      <formula>0</formula>
    </cfRule>
  </conditionalFormatting>
  <conditionalFormatting sqref="B28">
    <cfRule type="cellIs" dxfId="0" priority="11" operator="greaterThan">
      <formula>0</formula>
    </cfRule>
  </conditionalFormatting>
  <conditionalFormatting sqref="B28">
    <cfRule type="cellIs" dxfId="1" priority="12" operator="lessThan">
      <formula>0</formula>
    </cfRule>
  </conditionalFormatting>
  <conditionalFormatting sqref="B10">
    <cfRule type="cellIs" dxfId="0" priority="13" operator="greaterThan">
      <formula>0</formula>
    </cfRule>
  </conditionalFormatting>
  <conditionalFormatting sqref="B10">
    <cfRule type="cellIs" dxfId="1" priority="14" operator="lessThan">
      <formula>0</formula>
    </cfRule>
  </conditionalFormatting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DD7EE"/>
    <pageSetUpPr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13.11"/>
    <col customWidth="1" min="3" max="3" width="12.56"/>
    <col customWidth="1" min="4" max="4" width="2.56"/>
    <col customWidth="1" min="5" max="5" width="8.44"/>
    <col customWidth="1" min="6" max="6" width="4.67"/>
    <col customWidth="1" min="7" max="7" width="7.33"/>
    <col customWidth="1" min="8" max="8" width="8.44"/>
    <col customWidth="1" min="9" max="9" width="5.56"/>
    <col customWidth="1" min="10" max="10" width="4.22"/>
    <col customWidth="1" min="11" max="11" width="5.0"/>
    <col customWidth="1" min="12" max="12" width="7.22"/>
    <col customWidth="1" min="13" max="13" width="17.78"/>
    <col customWidth="1" min="14" max="14" width="9.11"/>
    <col customWidth="1" min="15" max="15" width="9.22"/>
    <col customWidth="1" min="16" max="17" width="7.78"/>
    <col customWidth="1" min="18" max="19" width="7.67"/>
    <col customWidth="1" min="20" max="20" width="2.56"/>
    <col customWidth="1" min="21" max="22" width="9.44"/>
    <col customWidth="1" min="23" max="23" width="7.33"/>
    <col customWidth="1" min="24" max="24" width="5.44"/>
    <col customWidth="1" min="25" max="26" width="9.44"/>
    <col customWidth="1" min="27" max="27" width="2.56"/>
    <col customWidth="1" min="28" max="28" width="8.0"/>
    <col customWidth="1" min="29" max="29" width="11.22"/>
  </cols>
  <sheetData>
    <row r="1" ht="15.0" customHeight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</row>
    <row r="2" ht="18.0" customHeight="1">
      <c r="A2" s="6"/>
      <c r="B2" s="7" t="s">
        <v>0</v>
      </c>
      <c r="C2" s="118" t="s">
        <v>46</v>
      </c>
      <c r="D2" s="9"/>
      <c r="E2" s="10" t="str">
        <f>IFERROR(__xludf.DUMMYFUNCTION("googlefinance(C2, ""name"")"),"Coca-Cola Co")</f>
        <v>Coca-Cola Co</v>
      </c>
      <c r="F2" s="11"/>
      <c r="G2" s="11"/>
      <c r="H2" s="11"/>
      <c r="I2" s="11"/>
      <c r="J2" s="11"/>
      <c r="K2" s="11"/>
      <c r="L2" s="11"/>
      <c r="M2" s="12"/>
      <c r="N2" s="13"/>
      <c r="O2" s="15"/>
      <c r="P2" s="15"/>
      <c r="Q2" s="15"/>
      <c r="R2" s="15"/>
      <c r="S2" s="15"/>
      <c r="T2" s="15"/>
      <c r="U2" s="16" t="s">
        <v>2</v>
      </c>
      <c r="V2" s="17"/>
      <c r="W2" s="18"/>
      <c r="X2" s="120">
        <f>B16</f>
        <v>2270</v>
      </c>
      <c r="Y2" s="11"/>
      <c r="Z2" s="20"/>
      <c r="AA2" s="21"/>
      <c r="AB2" s="5"/>
      <c r="AC2" s="5"/>
    </row>
    <row r="3" ht="18.0" customHeight="1">
      <c r="A3" s="22"/>
      <c r="B3" s="23"/>
      <c r="C3" s="23"/>
      <c r="D3" s="24"/>
      <c r="E3" s="25"/>
      <c r="F3" s="26"/>
      <c r="G3" s="26"/>
      <c r="H3" s="26"/>
      <c r="I3" s="26"/>
      <c r="J3" s="26"/>
      <c r="K3" s="26"/>
      <c r="L3" s="26"/>
      <c r="M3" s="27"/>
      <c r="N3" s="13"/>
      <c r="O3" s="15"/>
      <c r="P3" s="15"/>
      <c r="Q3" s="15"/>
      <c r="R3" s="15"/>
      <c r="S3" s="15"/>
      <c r="T3" s="15"/>
      <c r="U3" s="28"/>
      <c r="V3" s="26"/>
      <c r="W3" s="29"/>
      <c r="X3" s="30"/>
      <c r="Y3" s="31"/>
      <c r="Z3" s="32"/>
      <c r="AA3" s="33"/>
      <c r="AB3" s="5"/>
      <c r="AC3" s="5"/>
    </row>
    <row r="4" ht="15.0" customHeight="1">
      <c r="A4" s="34"/>
      <c r="B4" s="35"/>
      <c r="C4" s="35"/>
      <c r="D4" s="36"/>
      <c r="E4" s="36"/>
      <c r="F4" s="36"/>
      <c r="G4" s="36"/>
      <c r="H4" s="36"/>
      <c r="I4" s="36"/>
      <c r="J4" s="121"/>
      <c r="K4" s="121"/>
      <c r="L4" s="121"/>
      <c r="M4" s="122"/>
      <c r="N4" s="122"/>
      <c r="O4" s="15"/>
      <c r="P4" s="15"/>
      <c r="Q4" s="15"/>
      <c r="R4" s="15"/>
      <c r="S4" s="15"/>
      <c r="T4" s="15"/>
      <c r="U4" s="38"/>
      <c r="V4" s="38"/>
      <c r="W4" s="38"/>
      <c r="X4" s="39"/>
      <c r="Y4" s="39"/>
      <c r="Z4" s="39"/>
      <c r="AA4" s="33"/>
      <c r="AB4" s="5"/>
      <c r="AC4" s="5"/>
    </row>
    <row r="5" ht="18.0" customHeight="1">
      <c r="A5" s="34"/>
      <c r="B5" s="41" t="s">
        <v>3</v>
      </c>
      <c r="C5" s="42"/>
      <c r="D5" s="123"/>
      <c r="E5" s="124" t="s">
        <v>4</v>
      </c>
      <c r="T5" s="43"/>
      <c r="U5" s="44" t="s">
        <v>5</v>
      </c>
      <c r="V5" s="45"/>
      <c r="W5" s="45"/>
      <c r="X5" s="45"/>
      <c r="Y5" s="45"/>
      <c r="Z5" s="46"/>
      <c r="AA5" s="48"/>
      <c r="AB5" s="5"/>
      <c r="AC5" s="5"/>
    </row>
    <row r="6" ht="18.0" customHeight="1">
      <c r="A6" s="34"/>
      <c r="B6" s="125">
        <f>IFERROR(__xludf.DUMMYFUNCTION("googlefinance(C2,""price"")"),77.61)</f>
        <v>77.61</v>
      </c>
      <c r="C6" s="50"/>
      <c r="D6" s="123"/>
      <c r="E6" s="51" t="s">
        <v>6</v>
      </c>
      <c r="F6" s="52" t="s">
        <v>7</v>
      </c>
      <c r="G6" s="52" t="s">
        <v>8</v>
      </c>
      <c r="H6" s="53" t="s">
        <v>9</v>
      </c>
      <c r="I6" s="52" t="s">
        <v>10</v>
      </c>
      <c r="J6" s="52" t="s">
        <v>11</v>
      </c>
      <c r="K6" s="52" t="s">
        <v>12</v>
      </c>
      <c r="L6" s="51" t="s">
        <v>13</v>
      </c>
      <c r="M6" s="52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4" t="s">
        <v>19</v>
      </c>
      <c r="S6" s="51" t="s">
        <v>20</v>
      </c>
      <c r="T6" s="43"/>
      <c r="U6" s="51" t="s">
        <v>21</v>
      </c>
      <c r="V6" s="52" t="s">
        <v>22</v>
      </c>
      <c r="W6" s="52" t="s">
        <v>8</v>
      </c>
      <c r="X6" s="53" t="s">
        <v>23</v>
      </c>
      <c r="Y6" s="52" t="s">
        <v>24</v>
      </c>
      <c r="Z6" s="52" t="s">
        <v>25</v>
      </c>
      <c r="AA6" s="48"/>
      <c r="AB6" s="5"/>
      <c r="AC6" s="5"/>
    </row>
    <row r="7" ht="18.0" customHeight="1">
      <c r="A7" s="34"/>
      <c r="B7" s="55"/>
      <c r="C7" s="56"/>
      <c r="D7" s="123"/>
      <c r="E7" s="57">
        <v>44327.0</v>
      </c>
      <c r="F7" s="58" t="s">
        <v>26</v>
      </c>
      <c r="G7" s="58" t="s">
        <v>27</v>
      </c>
      <c r="H7" s="57">
        <v>44330.0</v>
      </c>
      <c r="I7" s="59">
        <v>55.5</v>
      </c>
      <c r="J7" s="60">
        <v>1.0</v>
      </c>
      <c r="K7" s="59">
        <v>0.12</v>
      </c>
      <c r="L7" s="61">
        <f t="shared" ref="L7:L32" si="1">IF(E7="","",IF(AND(F7="Stock",G7="Buy"),(100*((J7*K7)*-1)),IF(AND(F7="Call",G7="Buy"),(100*((J7*K7)*-1)),IF(AND(F7="PUT",G7="Buy"),(100*((J7*K7)*-1)),100*(J7*K7)))))</f>
        <v>12</v>
      </c>
      <c r="M7" s="89"/>
      <c r="N7" s="63"/>
      <c r="O7" s="64"/>
      <c r="P7" s="61">
        <f t="shared" ref="P7:P32" si="2">IF(E7="","",IF(AND(F7="Stock",G7="Buy"),(100*((J7*O7)*1)),IF(AND(F7="Call",G7="Buy"),(100*((J7*O7)*1)),IF(AND(F7="PUT",G7="Buy"),(100*((J7*O7)*1)),(100*(J7*O7))*-1))))</f>
        <v>0</v>
      </c>
      <c r="Q7" s="61">
        <f t="shared" ref="Q7:Q32" si="3">IF(L7="","",L7+P7)</f>
        <v>12</v>
      </c>
      <c r="R7" s="65">
        <f>K7/B6</f>
        <v>0.001546192501</v>
      </c>
      <c r="S7" s="66">
        <f t="shared" ref="S7:S32" si="4">IF(AND(E7="",N7=""),"",IF(N7="",TODAY()-E7,N7-E7))</f>
        <v>1766</v>
      </c>
      <c r="T7" s="43"/>
      <c r="U7" s="126">
        <v>44327.0</v>
      </c>
      <c r="V7" s="127"/>
      <c r="W7" s="128" t="s">
        <v>29</v>
      </c>
      <c r="X7" s="129">
        <v>100.0</v>
      </c>
      <c r="Y7" s="130">
        <v>55.03</v>
      </c>
      <c r="Z7" s="131">
        <f t="shared" ref="Z7:Z31" si="5">IF(X7="","",(X7*Y7)*-1)</f>
        <v>-5503</v>
      </c>
      <c r="AA7" s="48"/>
      <c r="AB7" s="5"/>
      <c r="AC7" s="5"/>
    </row>
    <row r="8" ht="18.0" customHeight="1">
      <c r="A8" s="34"/>
      <c r="B8" s="37"/>
      <c r="C8" s="37"/>
      <c r="D8" s="123"/>
      <c r="E8" s="132"/>
      <c r="F8" s="127"/>
      <c r="G8" s="127"/>
      <c r="H8" s="132"/>
      <c r="I8" s="133"/>
      <c r="J8" s="134"/>
      <c r="K8" s="133"/>
      <c r="L8" s="135" t="str">
        <f t="shared" si="1"/>
        <v/>
      </c>
      <c r="M8" s="127"/>
      <c r="N8" s="132"/>
      <c r="O8" s="136"/>
      <c r="P8" s="135" t="str">
        <f t="shared" si="2"/>
        <v/>
      </c>
      <c r="Q8" s="135" t="str">
        <f t="shared" si="3"/>
        <v/>
      </c>
      <c r="R8" s="137"/>
      <c r="S8" s="137" t="str">
        <f t="shared" si="4"/>
        <v/>
      </c>
      <c r="T8" s="43"/>
      <c r="U8" s="132"/>
      <c r="V8" s="127"/>
      <c r="W8" s="127"/>
      <c r="X8" s="138"/>
      <c r="Y8" s="133"/>
      <c r="Z8" s="131" t="str">
        <f t="shared" si="5"/>
        <v/>
      </c>
      <c r="AA8" s="48"/>
      <c r="AB8" s="5"/>
      <c r="AC8" s="5"/>
    </row>
    <row r="9" ht="18.0" customHeight="1">
      <c r="A9" s="6"/>
      <c r="B9" s="51" t="s">
        <v>30</v>
      </c>
      <c r="C9" s="51" t="s">
        <v>31</v>
      </c>
      <c r="D9" s="139"/>
      <c r="E9" s="132"/>
      <c r="F9" s="127"/>
      <c r="G9" s="127"/>
      <c r="H9" s="132"/>
      <c r="I9" s="133"/>
      <c r="J9" s="140"/>
      <c r="K9" s="133"/>
      <c r="L9" s="135" t="str">
        <f t="shared" si="1"/>
        <v/>
      </c>
      <c r="M9" s="127"/>
      <c r="N9" s="132"/>
      <c r="O9" s="136"/>
      <c r="P9" s="135" t="str">
        <f t="shared" si="2"/>
        <v/>
      </c>
      <c r="Q9" s="135" t="str">
        <f t="shared" si="3"/>
        <v/>
      </c>
      <c r="R9" s="137"/>
      <c r="S9" s="137" t="str">
        <f t="shared" si="4"/>
        <v/>
      </c>
      <c r="T9" s="43"/>
      <c r="U9" s="126"/>
      <c r="V9" s="127"/>
      <c r="W9" s="127"/>
      <c r="X9" s="138"/>
      <c r="Y9" s="133"/>
      <c r="Z9" s="131" t="str">
        <f t="shared" si="5"/>
        <v/>
      </c>
      <c r="AA9" s="72"/>
      <c r="AB9" s="5"/>
      <c r="AC9" s="5"/>
    </row>
    <row r="10" ht="18.0" customHeight="1">
      <c r="A10" s="6"/>
      <c r="B10" s="131">
        <f>IF(X7="",0,SUM(Z7:Z32))</f>
        <v>-5503</v>
      </c>
      <c r="C10" s="131">
        <f>IF(SUM(X7:X24)=0,0,B6*(SUM(X7:X444)))</f>
        <v>7761</v>
      </c>
      <c r="D10" s="139"/>
      <c r="E10" s="132"/>
      <c r="F10" s="127"/>
      <c r="G10" s="127"/>
      <c r="H10" s="132"/>
      <c r="I10" s="133"/>
      <c r="J10" s="140"/>
      <c r="K10" s="133"/>
      <c r="L10" s="135" t="str">
        <f t="shared" si="1"/>
        <v/>
      </c>
      <c r="M10" s="127"/>
      <c r="N10" s="132"/>
      <c r="O10" s="136"/>
      <c r="P10" s="135" t="str">
        <f t="shared" si="2"/>
        <v/>
      </c>
      <c r="Q10" s="135" t="str">
        <f t="shared" si="3"/>
        <v/>
      </c>
      <c r="R10" s="137"/>
      <c r="S10" s="137" t="str">
        <f t="shared" si="4"/>
        <v/>
      </c>
      <c r="T10" s="43"/>
      <c r="U10" s="132"/>
      <c r="V10" s="127"/>
      <c r="W10" s="127"/>
      <c r="X10" s="138"/>
      <c r="Y10" s="133"/>
      <c r="Z10" s="131" t="str">
        <f t="shared" si="5"/>
        <v/>
      </c>
      <c r="AA10" s="72"/>
      <c r="AB10" s="5"/>
      <c r="AC10" s="5"/>
    </row>
    <row r="11" ht="18.0" customHeight="1">
      <c r="A11" s="75"/>
      <c r="B11" s="76"/>
      <c r="C11" s="77"/>
      <c r="D11" s="141"/>
      <c r="E11" s="126"/>
      <c r="F11" s="127"/>
      <c r="G11" s="127"/>
      <c r="H11" s="132"/>
      <c r="I11" s="133"/>
      <c r="J11" s="140"/>
      <c r="K11" s="133"/>
      <c r="L11" s="135" t="str">
        <f t="shared" si="1"/>
        <v/>
      </c>
      <c r="M11" s="128"/>
      <c r="N11" s="126"/>
      <c r="O11" s="142"/>
      <c r="P11" s="135" t="str">
        <f t="shared" si="2"/>
        <v/>
      </c>
      <c r="Q11" s="135" t="str">
        <f t="shared" si="3"/>
        <v/>
      </c>
      <c r="R11" s="137"/>
      <c r="S11" s="137" t="str">
        <f t="shared" si="4"/>
        <v/>
      </c>
      <c r="T11" s="43"/>
      <c r="U11" s="132"/>
      <c r="V11" s="127"/>
      <c r="W11" s="127"/>
      <c r="X11" s="138"/>
      <c r="Y11" s="133"/>
      <c r="Z11" s="131" t="str">
        <f t="shared" si="5"/>
        <v/>
      </c>
      <c r="AA11" s="72"/>
      <c r="AB11" s="5"/>
      <c r="AC11" s="5"/>
    </row>
    <row r="12" ht="18.0" customHeight="1">
      <c r="A12" s="6"/>
      <c r="B12" s="51" t="s">
        <v>32</v>
      </c>
      <c r="C12" s="51" t="s">
        <v>33</v>
      </c>
      <c r="D12" s="139"/>
      <c r="E12" s="132"/>
      <c r="F12" s="127"/>
      <c r="G12" s="127"/>
      <c r="H12" s="132"/>
      <c r="I12" s="133"/>
      <c r="J12" s="134"/>
      <c r="K12" s="133"/>
      <c r="L12" s="135" t="str">
        <f t="shared" si="1"/>
        <v/>
      </c>
      <c r="M12" s="127"/>
      <c r="N12" s="132"/>
      <c r="O12" s="136"/>
      <c r="P12" s="135" t="str">
        <f t="shared" si="2"/>
        <v/>
      </c>
      <c r="Q12" s="135" t="str">
        <f t="shared" si="3"/>
        <v/>
      </c>
      <c r="R12" s="137"/>
      <c r="S12" s="137" t="str">
        <f t="shared" si="4"/>
        <v/>
      </c>
      <c r="T12" s="43"/>
      <c r="U12" s="132"/>
      <c r="V12" s="127"/>
      <c r="W12" s="127"/>
      <c r="X12" s="138"/>
      <c r="Y12" s="133"/>
      <c r="Z12" s="131" t="str">
        <f t="shared" si="5"/>
        <v/>
      </c>
      <c r="AA12" s="72"/>
      <c r="AB12" s="5"/>
      <c r="AC12" s="5"/>
    </row>
    <row r="13" ht="18.0" customHeight="1">
      <c r="A13" s="6"/>
      <c r="B13" s="131">
        <f>IF(X7="",0,(B10/SUM(X7:X32))*-1)</f>
        <v>55.03</v>
      </c>
      <c r="C13" s="131">
        <f>IF(X7="",0,((SUM(B22,B10)/SUM(X7:X32)))*-1)</f>
        <v>54.91</v>
      </c>
      <c r="D13" s="139"/>
      <c r="E13" s="132"/>
      <c r="F13" s="127"/>
      <c r="G13" s="127"/>
      <c r="H13" s="132"/>
      <c r="I13" s="133"/>
      <c r="J13" s="134"/>
      <c r="K13" s="133"/>
      <c r="L13" s="135" t="str">
        <f t="shared" si="1"/>
        <v/>
      </c>
      <c r="M13" s="127"/>
      <c r="N13" s="132"/>
      <c r="O13" s="136"/>
      <c r="P13" s="135" t="str">
        <f t="shared" si="2"/>
        <v/>
      </c>
      <c r="Q13" s="135" t="str">
        <f t="shared" si="3"/>
        <v/>
      </c>
      <c r="R13" s="137"/>
      <c r="S13" s="137" t="str">
        <f t="shared" si="4"/>
        <v/>
      </c>
      <c r="T13" s="43"/>
      <c r="U13" s="132"/>
      <c r="V13" s="127"/>
      <c r="W13" s="127"/>
      <c r="X13" s="138"/>
      <c r="Y13" s="133"/>
      <c r="Z13" s="131" t="str">
        <f t="shared" si="5"/>
        <v/>
      </c>
      <c r="AA13" s="72"/>
      <c r="AB13" s="5"/>
      <c r="AC13" s="5"/>
    </row>
    <row r="14" ht="18.0" customHeight="1">
      <c r="A14" s="75"/>
      <c r="B14" s="77"/>
      <c r="C14" s="77"/>
      <c r="D14" s="141"/>
      <c r="E14" s="132"/>
      <c r="F14" s="127"/>
      <c r="G14" s="127"/>
      <c r="H14" s="132"/>
      <c r="I14" s="133"/>
      <c r="J14" s="134"/>
      <c r="K14" s="133"/>
      <c r="L14" s="135" t="str">
        <f t="shared" si="1"/>
        <v/>
      </c>
      <c r="M14" s="127"/>
      <c r="N14" s="132"/>
      <c r="O14" s="136"/>
      <c r="P14" s="135" t="str">
        <f t="shared" si="2"/>
        <v/>
      </c>
      <c r="Q14" s="135" t="str">
        <f t="shared" si="3"/>
        <v/>
      </c>
      <c r="R14" s="137"/>
      <c r="S14" s="137" t="str">
        <f t="shared" si="4"/>
        <v/>
      </c>
      <c r="T14" s="43"/>
      <c r="U14" s="132"/>
      <c r="V14" s="127"/>
      <c r="W14" s="127"/>
      <c r="X14" s="138"/>
      <c r="Y14" s="133"/>
      <c r="Z14" s="131" t="str">
        <f t="shared" si="5"/>
        <v/>
      </c>
      <c r="AA14" s="72"/>
      <c r="AB14" s="5"/>
      <c r="AC14" s="81"/>
    </row>
    <row r="15" ht="18.0" customHeight="1">
      <c r="A15" s="6"/>
      <c r="B15" s="51" t="s">
        <v>34</v>
      </c>
      <c r="C15" s="54" t="s">
        <v>35</v>
      </c>
      <c r="D15" s="139"/>
      <c r="E15" s="132"/>
      <c r="F15" s="127"/>
      <c r="G15" s="127"/>
      <c r="H15" s="132"/>
      <c r="I15" s="133"/>
      <c r="J15" s="134"/>
      <c r="K15" s="133"/>
      <c r="L15" s="135" t="str">
        <f t="shared" si="1"/>
        <v/>
      </c>
      <c r="M15" s="127"/>
      <c r="N15" s="132"/>
      <c r="O15" s="136"/>
      <c r="P15" s="135" t="str">
        <f t="shared" si="2"/>
        <v/>
      </c>
      <c r="Q15" s="135" t="str">
        <f t="shared" si="3"/>
        <v/>
      </c>
      <c r="R15" s="137"/>
      <c r="S15" s="137" t="str">
        <f t="shared" si="4"/>
        <v/>
      </c>
      <c r="T15" s="78"/>
      <c r="U15" s="132"/>
      <c r="V15" s="127"/>
      <c r="W15" s="127"/>
      <c r="X15" s="138"/>
      <c r="Y15" s="133"/>
      <c r="Z15" s="131" t="str">
        <f t="shared" si="5"/>
        <v/>
      </c>
      <c r="AA15" s="72"/>
      <c r="AB15" s="5"/>
      <c r="AC15" s="5"/>
    </row>
    <row r="16" ht="18.0" customHeight="1">
      <c r="A16" s="6"/>
      <c r="B16" s="131">
        <f>SUM(B19,B22)</f>
        <v>2270</v>
      </c>
      <c r="C16" s="143">
        <f>IF(B10=0,1,($B$16/$B$10)*-1)</f>
        <v>0.4125022715</v>
      </c>
      <c r="D16" s="139"/>
      <c r="E16" s="132"/>
      <c r="F16" s="127"/>
      <c r="G16" s="127"/>
      <c r="H16" s="132"/>
      <c r="I16" s="133"/>
      <c r="J16" s="134"/>
      <c r="K16" s="133"/>
      <c r="L16" s="135" t="str">
        <f t="shared" si="1"/>
        <v/>
      </c>
      <c r="M16" s="127"/>
      <c r="N16" s="132"/>
      <c r="O16" s="136"/>
      <c r="P16" s="135" t="str">
        <f t="shared" si="2"/>
        <v/>
      </c>
      <c r="Q16" s="135" t="str">
        <f t="shared" si="3"/>
        <v/>
      </c>
      <c r="R16" s="137"/>
      <c r="S16" s="137" t="str">
        <f t="shared" si="4"/>
        <v/>
      </c>
      <c r="T16" s="78"/>
      <c r="U16" s="132"/>
      <c r="V16" s="127"/>
      <c r="W16" s="127"/>
      <c r="X16" s="138"/>
      <c r="Y16" s="133"/>
      <c r="Z16" s="131" t="str">
        <f t="shared" si="5"/>
        <v/>
      </c>
      <c r="AA16" s="72"/>
      <c r="AB16" s="5"/>
      <c r="AC16" s="5"/>
    </row>
    <row r="17" ht="18.0" customHeight="1">
      <c r="A17" s="75"/>
      <c r="B17" s="83"/>
      <c r="C17" s="83"/>
      <c r="D17" s="141"/>
      <c r="E17" s="132"/>
      <c r="F17" s="127"/>
      <c r="G17" s="127"/>
      <c r="H17" s="132"/>
      <c r="I17" s="133"/>
      <c r="J17" s="134"/>
      <c r="K17" s="133"/>
      <c r="L17" s="135" t="str">
        <f t="shared" si="1"/>
        <v/>
      </c>
      <c r="M17" s="127"/>
      <c r="N17" s="132"/>
      <c r="O17" s="136"/>
      <c r="P17" s="135" t="str">
        <f t="shared" si="2"/>
        <v/>
      </c>
      <c r="Q17" s="135" t="str">
        <f t="shared" si="3"/>
        <v/>
      </c>
      <c r="R17" s="137"/>
      <c r="S17" s="137" t="str">
        <f t="shared" si="4"/>
        <v/>
      </c>
      <c r="T17" s="78"/>
      <c r="U17" s="132"/>
      <c r="V17" s="127"/>
      <c r="W17" s="127"/>
      <c r="X17" s="138"/>
      <c r="Y17" s="133"/>
      <c r="Z17" s="131" t="str">
        <f t="shared" si="5"/>
        <v/>
      </c>
      <c r="AA17" s="72"/>
      <c r="AB17" s="5"/>
      <c r="AC17" s="5"/>
    </row>
    <row r="18" ht="18.0" customHeight="1">
      <c r="A18" s="75"/>
      <c r="B18" s="84" t="s">
        <v>36</v>
      </c>
      <c r="C18" s="85" t="s">
        <v>35</v>
      </c>
      <c r="D18" s="141"/>
      <c r="E18" s="132"/>
      <c r="F18" s="127"/>
      <c r="G18" s="127"/>
      <c r="H18" s="132"/>
      <c r="I18" s="133"/>
      <c r="J18" s="134"/>
      <c r="K18" s="133"/>
      <c r="L18" s="135" t="str">
        <f t="shared" si="1"/>
        <v/>
      </c>
      <c r="M18" s="127"/>
      <c r="N18" s="132"/>
      <c r="O18" s="136"/>
      <c r="P18" s="135" t="str">
        <f t="shared" si="2"/>
        <v/>
      </c>
      <c r="Q18" s="135" t="str">
        <f t="shared" si="3"/>
        <v/>
      </c>
      <c r="R18" s="137"/>
      <c r="S18" s="137" t="str">
        <f t="shared" si="4"/>
        <v/>
      </c>
      <c r="T18" s="78"/>
      <c r="U18" s="132"/>
      <c r="V18" s="127"/>
      <c r="W18" s="127"/>
      <c r="X18" s="138"/>
      <c r="Y18" s="133"/>
      <c r="Z18" s="131" t="str">
        <f t="shared" si="5"/>
        <v/>
      </c>
      <c r="AA18" s="72"/>
      <c r="AB18" s="5"/>
      <c r="AC18" s="5"/>
    </row>
    <row r="19" ht="18.0" customHeight="1">
      <c r="A19" s="75"/>
      <c r="B19" s="144">
        <f>C10+B10</f>
        <v>2258</v>
      </c>
      <c r="C19" s="145">
        <f>IF(B19=0,0,($B$19/$B$10)*-1)</f>
        <v>0.4103216427</v>
      </c>
      <c r="D19" s="141"/>
      <c r="E19" s="132"/>
      <c r="F19" s="127"/>
      <c r="G19" s="127"/>
      <c r="H19" s="132"/>
      <c r="I19" s="133"/>
      <c r="J19" s="134"/>
      <c r="K19" s="133"/>
      <c r="L19" s="135" t="str">
        <f t="shared" si="1"/>
        <v/>
      </c>
      <c r="M19" s="127"/>
      <c r="N19" s="132"/>
      <c r="O19" s="136"/>
      <c r="P19" s="135" t="str">
        <f t="shared" si="2"/>
        <v/>
      </c>
      <c r="Q19" s="135" t="str">
        <f t="shared" si="3"/>
        <v/>
      </c>
      <c r="R19" s="137"/>
      <c r="S19" s="137" t="str">
        <f t="shared" si="4"/>
        <v/>
      </c>
      <c r="T19" s="78"/>
      <c r="U19" s="132"/>
      <c r="V19" s="127"/>
      <c r="W19" s="127"/>
      <c r="X19" s="138"/>
      <c r="Y19" s="133"/>
      <c r="Z19" s="131" t="str">
        <f t="shared" si="5"/>
        <v/>
      </c>
      <c r="AA19" s="72"/>
      <c r="AB19" s="5"/>
      <c r="AC19" s="5"/>
    </row>
    <row r="20" ht="18.0" customHeight="1">
      <c r="A20" s="75"/>
      <c r="B20" s="88"/>
      <c r="C20" s="88"/>
      <c r="D20" s="141"/>
      <c r="E20" s="132"/>
      <c r="F20" s="127"/>
      <c r="G20" s="127"/>
      <c r="H20" s="132"/>
      <c r="I20" s="133"/>
      <c r="J20" s="134"/>
      <c r="K20" s="133"/>
      <c r="L20" s="135" t="str">
        <f t="shared" si="1"/>
        <v/>
      </c>
      <c r="M20" s="127"/>
      <c r="N20" s="132"/>
      <c r="O20" s="136"/>
      <c r="P20" s="135" t="str">
        <f t="shared" si="2"/>
        <v/>
      </c>
      <c r="Q20" s="135" t="str">
        <f t="shared" si="3"/>
        <v/>
      </c>
      <c r="R20" s="137"/>
      <c r="S20" s="137" t="str">
        <f t="shared" si="4"/>
        <v/>
      </c>
      <c r="T20" s="78"/>
      <c r="U20" s="132"/>
      <c r="V20" s="127"/>
      <c r="W20" s="127"/>
      <c r="X20" s="138"/>
      <c r="Y20" s="133"/>
      <c r="Z20" s="131" t="str">
        <f t="shared" si="5"/>
        <v/>
      </c>
      <c r="AA20" s="72"/>
      <c r="AB20" s="5"/>
      <c r="AC20" s="5"/>
    </row>
    <row r="21" ht="18.0" customHeight="1">
      <c r="A21" s="75"/>
      <c r="B21" s="84" t="s">
        <v>37</v>
      </c>
      <c r="C21" s="85" t="s">
        <v>35</v>
      </c>
      <c r="D21" s="141"/>
      <c r="E21" s="132"/>
      <c r="F21" s="127"/>
      <c r="G21" s="127"/>
      <c r="H21" s="132"/>
      <c r="I21" s="133"/>
      <c r="J21" s="134"/>
      <c r="K21" s="133"/>
      <c r="L21" s="135" t="str">
        <f t="shared" si="1"/>
        <v/>
      </c>
      <c r="M21" s="127"/>
      <c r="N21" s="132"/>
      <c r="O21" s="136"/>
      <c r="P21" s="135" t="str">
        <f t="shared" si="2"/>
        <v/>
      </c>
      <c r="Q21" s="135" t="str">
        <f t="shared" si="3"/>
        <v/>
      </c>
      <c r="R21" s="137"/>
      <c r="S21" s="137" t="str">
        <f t="shared" si="4"/>
        <v/>
      </c>
      <c r="T21" s="78"/>
      <c r="U21" s="132"/>
      <c r="V21" s="127"/>
      <c r="W21" s="127"/>
      <c r="X21" s="138"/>
      <c r="Y21" s="133"/>
      <c r="Z21" s="131" t="str">
        <f t="shared" si="5"/>
        <v/>
      </c>
      <c r="AA21" s="72"/>
      <c r="AB21" s="5"/>
      <c r="AC21" s="5"/>
    </row>
    <row r="22" ht="18.0" customHeight="1">
      <c r="A22" s="75"/>
      <c r="B22" s="144">
        <f>SUM(L7:L32)+SUM(P7:P32)</f>
        <v>12</v>
      </c>
      <c r="C22" s="145">
        <f>IF($B$10=0,1,($B$22/$B$10)*-1)</f>
        <v>0.002180628748</v>
      </c>
      <c r="D22" s="141"/>
      <c r="E22" s="132"/>
      <c r="F22" s="146"/>
      <c r="G22" s="127"/>
      <c r="H22" s="132"/>
      <c r="I22" s="133"/>
      <c r="J22" s="134"/>
      <c r="K22" s="133"/>
      <c r="L22" s="135" t="str">
        <f t="shared" si="1"/>
        <v/>
      </c>
      <c r="M22" s="127"/>
      <c r="N22" s="132"/>
      <c r="O22" s="136"/>
      <c r="P22" s="135" t="str">
        <f t="shared" si="2"/>
        <v/>
      </c>
      <c r="Q22" s="135" t="str">
        <f t="shared" si="3"/>
        <v/>
      </c>
      <c r="R22" s="137"/>
      <c r="S22" s="137" t="str">
        <f t="shared" si="4"/>
        <v/>
      </c>
      <c r="T22" s="78"/>
      <c r="U22" s="132"/>
      <c r="V22" s="127"/>
      <c r="W22" s="127"/>
      <c r="X22" s="138"/>
      <c r="Y22" s="133"/>
      <c r="Z22" s="131" t="str">
        <f t="shared" si="5"/>
        <v/>
      </c>
      <c r="AA22" s="72"/>
      <c r="AB22" s="5"/>
      <c r="AC22" s="5"/>
    </row>
    <row r="23" ht="18.0" customHeight="1">
      <c r="A23" s="75"/>
      <c r="B23" s="88"/>
      <c r="C23" s="88"/>
      <c r="D23" s="141"/>
      <c r="E23" s="132"/>
      <c r="F23" s="127"/>
      <c r="G23" s="127"/>
      <c r="H23" s="132"/>
      <c r="I23" s="133"/>
      <c r="J23" s="134"/>
      <c r="K23" s="133"/>
      <c r="L23" s="135" t="str">
        <f t="shared" si="1"/>
        <v/>
      </c>
      <c r="M23" s="127"/>
      <c r="N23" s="132"/>
      <c r="O23" s="136"/>
      <c r="P23" s="135" t="str">
        <f t="shared" si="2"/>
        <v/>
      </c>
      <c r="Q23" s="135" t="str">
        <f t="shared" si="3"/>
        <v/>
      </c>
      <c r="R23" s="137"/>
      <c r="S23" s="137" t="str">
        <f t="shared" si="4"/>
        <v/>
      </c>
      <c r="T23" s="78"/>
      <c r="U23" s="132"/>
      <c r="V23" s="127"/>
      <c r="W23" s="127"/>
      <c r="X23" s="138"/>
      <c r="Y23" s="133"/>
      <c r="Z23" s="131" t="str">
        <f t="shared" si="5"/>
        <v/>
      </c>
      <c r="AA23" s="72"/>
      <c r="AB23" s="5"/>
      <c r="AC23" s="5"/>
    </row>
    <row r="24" ht="18.0" customHeight="1">
      <c r="A24" s="75"/>
      <c r="B24" s="84" t="s">
        <v>38</v>
      </c>
      <c r="C24" s="92" t="s">
        <v>35</v>
      </c>
      <c r="D24" s="141"/>
      <c r="E24" s="132"/>
      <c r="F24" s="127"/>
      <c r="G24" s="127"/>
      <c r="H24" s="132"/>
      <c r="I24" s="133"/>
      <c r="J24" s="134"/>
      <c r="K24" s="133"/>
      <c r="L24" s="135" t="str">
        <f t="shared" si="1"/>
        <v/>
      </c>
      <c r="M24" s="127"/>
      <c r="N24" s="132"/>
      <c r="O24" s="136"/>
      <c r="P24" s="135" t="str">
        <f t="shared" si="2"/>
        <v/>
      </c>
      <c r="Q24" s="135" t="str">
        <f t="shared" si="3"/>
        <v/>
      </c>
      <c r="R24" s="137"/>
      <c r="S24" s="137" t="str">
        <f t="shared" si="4"/>
        <v/>
      </c>
      <c r="T24" s="78"/>
      <c r="U24" s="132"/>
      <c r="V24" s="127"/>
      <c r="W24" s="127"/>
      <c r="X24" s="138"/>
      <c r="Y24" s="133"/>
      <c r="Z24" s="131" t="str">
        <f t="shared" si="5"/>
        <v/>
      </c>
      <c r="AA24" s="72"/>
      <c r="AB24" s="5"/>
      <c r="AC24" s="5"/>
    </row>
    <row r="25" ht="18.0" customHeight="1">
      <c r="A25" s="75"/>
      <c r="B25" s="144">
        <f>IF(SUM(X7:X32)=0,0,(SUM(X7:X32)*C31)+B10)</f>
        <v>47</v>
      </c>
      <c r="C25" s="145">
        <f>IF(B25=0,0,($B$25/$B$10)*-1)</f>
        <v>0.008540795929</v>
      </c>
      <c r="D25" s="141"/>
      <c r="E25" s="132"/>
      <c r="F25" s="127"/>
      <c r="G25" s="127"/>
      <c r="H25" s="132"/>
      <c r="I25" s="133"/>
      <c r="J25" s="134"/>
      <c r="K25" s="133"/>
      <c r="L25" s="135" t="str">
        <f t="shared" si="1"/>
        <v/>
      </c>
      <c r="M25" s="127"/>
      <c r="N25" s="132"/>
      <c r="O25" s="136"/>
      <c r="P25" s="135" t="str">
        <f t="shared" si="2"/>
        <v/>
      </c>
      <c r="Q25" s="135" t="str">
        <f t="shared" si="3"/>
        <v/>
      </c>
      <c r="R25" s="137"/>
      <c r="S25" s="137" t="str">
        <f t="shared" si="4"/>
        <v/>
      </c>
      <c r="T25" s="78"/>
      <c r="U25" s="147"/>
      <c r="V25" s="147"/>
      <c r="W25" s="147"/>
      <c r="X25" s="147"/>
      <c r="Y25" s="148"/>
      <c r="Z25" s="131" t="str">
        <f t="shared" si="5"/>
        <v/>
      </c>
      <c r="AA25" s="72"/>
      <c r="AB25" s="5"/>
      <c r="AC25" s="5"/>
    </row>
    <row r="26" ht="18.0" customHeight="1">
      <c r="A26" s="75"/>
      <c r="B26" s="88"/>
      <c r="C26" s="88"/>
      <c r="D26" s="141"/>
      <c r="E26" s="132"/>
      <c r="F26" s="127"/>
      <c r="G26" s="127"/>
      <c r="H26" s="132"/>
      <c r="I26" s="133"/>
      <c r="J26" s="134"/>
      <c r="K26" s="133"/>
      <c r="L26" s="135" t="str">
        <f t="shared" si="1"/>
        <v/>
      </c>
      <c r="M26" s="127"/>
      <c r="N26" s="132"/>
      <c r="O26" s="136"/>
      <c r="P26" s="135" t="str">
        <f t="shared" si="2"/>
        <v/>
      </c>
      <c r="Q26" s="135" t="str">
        <f t="shared" si="3"/>
        <v/>
      </c>
      <c r="R26" s="137"/>
      <c r="S26" s="137" t="str">
        <f t="shared" si="4"/>
        <v/>
      </c>
      <c r="T26" s="78"/>
      <c r="U26" s="147"/>
      <c r="V26" s="147"/>
      <c r="W26" s="147"/>
      <c r="X26" s="147"/>
      <c r="Y26" s="148"/>
      <c r="Z26" s="131" t="str">
        <f t="shared" si="5"/>
        <v/>
      </c>
      <c r="AA26" s="72"/>
      <c r="AB26" s="5"/>
      <c r="AC26" s="5"/>
    </row>
    <row r="27" ht="18.0" customHeight="1">
      <c r="A27" s="75"/>
      <c r="B27" s="84" t="s">
        <v>39</v>
      </c>
      <c r="C27" s="92" t="s">
        <v>35</v>
      </c>
      <c r="D27" s="141"/>
      <c r="E27" s="132"/>
      <c r="F27" s="127"/>
      <c r="G27" s="127"/>
      <c r="H27" s="132"/>
      <c r="I27" s="133"/>
      <c r="J27" s="134"/>
      <c r="K27" s="133"/>
      <c r="L27" s="135" t="str">
        <f t="shared" si="1"/>
        <v/>
      </c>
      <c r="M27" s="127"/>
      <c r="N27" s="132"/>
      <c r="O27" s="136"/>
      <c r="P27" s="135" t="str">
        <f t="shared" si="2"/>
        <v/>
      </c>
      <c r="Q27" s="135" t="str">
        <f t="shared" si="3"/>
        <v/>
      </c>
      <c r="R27" s="137"/>
      <c r="S27" s="137" t="str">
        <f t="shared" si="4"/>
        <v/>
      </c>
      <c r="T27" s="78"/>
      <c r="U27" s="147"/>
      <c r="V27" s="147"/>
      <c r="W27" s="147"/>
      <c r="X27" s="147"/>
      <c r="Y27" s="148"/>
      <c r="Z27" s="131" t="str">
        <f t="shared" si="5"/>
        <v/>
      </c>
      <c r="AA27" s="95"/>
      <c r="AB27" s="5"/>
      <c r="AC27" s="5"/>
    </row>
    <row r="28" ht="18.0" customHeight="1">
      <c r="A28" s="75"/>
      <c r="B28" s="144">
        <f>SUM(B22,B25)</f>
        <v>59</v>
      </c>
      <c r="C28" s="145">
        <f>IF(B10=0,1,($B$25/$B$10)*-1)</f>
        <v>0.008540795929</v>
      </c>
      <c r="D28" s="141"/>
      <c r="E28" s="132"/>
      <c r="F28" s="127"/>
      <c r="G28" s="127"/>
      <c r="H28" s="132"/>
      <c r="I28" s="133"/>
      <c r="J28" s="134"/>
      <c r="K28" s="133"/>
      <c r="L28" s="135" t="str">
        <f t="shared" si="1"/>
        <v/>
      </c>
      <c r="M28" s="127"/>
      <c r="N28" s="132"/>
      <c r="O28" s="136"/>
      <c r="P28" s="135" t="str">
        <f t="shared" si="2"/>
        <v/>
      </c>
      <c r="Q28" s="135" t="str">
        <f t="shared" si="3"/>
        <v/>
      </c>
      <c r="R28" s="137"/>
      <c r="S28" s="137" t="str">
        <f t="shared" si="4"/>
        <v/>
      </c>
      <c r="T28" s="78"/>
      <c r="U28" s="147"/>
      <c r="V28" s="147"/>
      <c r="W28" s="147"/>
      <c r="X28" s="147"/>
      <c r="Y28" s="148"/>
      <c r="Z28" s="131" t="str">
        <f t="shared" si="5"/>
        <v/>
      </c>
      <c r="AA28" s="95"/>
      <c r="AB28" s="5"/>
      <c r="AC28" s="5"/>
    </row>
    <row r="29" ht="18.0" customHeight="1">
      <c r="A29" s="75"/>
      <c r="B29" s="88"/>
      <c r="C29" s="88"/>
      <c r="D29" s="141"/>
      <c r="E29" s="132"/>
      <c r="F29" s="127"/>
      <c r="G29" s="127"/>
      <c r="H29" s="132"/>
      <c r="I29" s="133"/>
      <c r="J29" s="134"/>
      <c r="K29" s="133"/>
      <c r="L29" s="135" t="str">
        <f t="shared" si="1"/>
        <v/>
      </c>
      <c r="M29" s="127"/>
      <c r="N29" s="132"/>
      <c r="O29" s="136"/>
      <c r="P29" s="135" t="str">
        <f t="shared" si="2"/>
        <v/>
      </c>
      <c r="Q29" s="135" t="str">
        <f t="shared" si="3"/>
        <v/>
      </c>
      <c r="R29" s="137"/>
      <c r="S29" s="137" t="str">
        <f t="shared" si="4"/>
        <v/>
      </c>
      <c r="T29" s="78"/>
      <c r="U29" s="147"/>
      <c r="V29" s="147"/>
      <c r="W29" s="147"/>
      <c r="X29" s="147"/>
      <c r="Y29" s="148"/>
      <c r="Z29" s="131" t="str">
        <f t="shared" si="5"/>
        <v/>
      </c>
      <c r="AA29" s="95"/>
      <c r="AB29" s="5"/>
      <c r="AC29" s="5"/>
    </row>
    <row r="30" ht="18.0" customHeight="1">
      <c r="A30" s="75"/>
      <c r="B30" s="96" t="s">
        <v>40</v>
      </c>
      <c r="C30" s="51" t="s">
        <v>41</v>
      </c>
      <c r="D30" s="141"/>
      <c r="E30" s="132"/>
      <c r="F30" s="127"/>
      <c r="G30" s="127"/>
      <c r="H30" s="132"/>
      <c r="I30" s="133"/>
      <c r="J30" s="134"/>
      <c r="K30" s="133"/>
      <c r="L30" s="135" t="str">
        <f t="shared" si="1"/>
        <v/>
      </c>
      <c r="M30" s="127"/>
      <c r="N30" s="132"/>
      <c r="O30" s="136"/>
      <c r="P30" s="135" t="str">
        <f t="shared" si="2"/>
        <v/>
      </c>
      <c r="Q30" s="135" t="str">
        <f t="shared" si="3"/>
        <v/>
      </c>
      <c r="R30" s="137"/>
      <c r="S30" s="137" t="str">
        <f t="shared" si="4"/>
        <v/>
      </c>
      <c r="T30" s="78"/>
      <c r="U30" s="147"/>
      <c r="V30" s="147"/>
      <c r="W30" s="147"/>
      <c r="X30" s="147"/>
      <c r="Y30" s="148"/>
      <c r="Z30" s="131" t="str">
        <f t="shared" si="5"/>
        <v/>
      </c>
      <c r="AA30" s="72"/>
      <c r="AB30" s="5"/>
      <c r="AC30" s="5"/>
    </row>
    <row r="31" ht="18.0" customHeight="1">
      <c r="A31" s="75"/>
      <c r="B31" s="137">
        <f t="array" ref="B31">LOOKUP(2,1/(J:J&lt;&gt;""),J:J)</f>
        <v>1</v>
      </c>
      <c r="C31" s="149">
        <f t="array" ref="C31">LOOKUP(2,1/(I:I&lt;&gt;""),I:I)</f>
        <v>55.5</v>
      </c>
      <c r="D31" s="141"/>
      <c r="E31" s="132"/>
      <c r="F31" s="127"/>
      <c r="G31" s="127"/>
      <c r="H31" s="132"/>
      <c r="I31" s="133"/>
      <c r="J31" s="134"/>
      <c r="K31" s="133"/>
      <c r="L31" s="135" t="str">
        <f t="shared" si="1"/>
        <v/>
      </c>
      <c r="M31" s="127"/>
      <c r="N31" s="132"/>
      <c r="O31" s="136"/>
      <c r="P31" s="135" t="str">
        <f t="shared" si="2"/>
        <v/>
      </c>
      <c r="Q31" s="135" t="str">
        <f t="shared" si="3"/>
        <v/>
      </c>
      <c r="R31" s="137"/>
      <c r="S31" s="137" t="str">
        <f t="shared" si="4"/>
        <v/>
      </c>
      <c r="T31" s="78"/>
      <c r="U31" s="147"/>
      <c r="V31" s="147"/>
      <c r="W31" s="147"/>
      <c r="X31" s="147"/>
      <c r="Y31" s="148"/>
      <c r="Z31" s="131" t="str">
        <f t="shared" si="5"/>
        <v/>
      </c>
      <c r="AA31" s="72"/>
      <c r="AB31" s="5"/>
      <c r="AC31" s="5"/>
    </row>
    <row r="32" ht="18.0" customHeight="1">
      <c r="A32" s="99"/>
      <c r="B32" s="100"/>
      <c r="C32" s="100"/>
      <c r="D32" s="150"/>
      <c r="E32" s="132"/>
      <c r="F32" s="127"/>
      <c r="G32" s="127"/>
      <c r="H32" s="132"/>
      <c r="I32" s="133"/>
      <c r="J32" s="134"/>
      <c r="K32" s="133"/>
      <c r="L32" s="135" t="str">
        <f t="shared" si="1"/>
        <v/>
      </c>
      <c r="M32" s="127"/>
      <c r="N32" s="132"/>
      <c r="O32" s="136"/>
      <c r="P32" s="135" t="str">
        <f t="shared" si="2"/>
        <v/>
      </c>
      <c r="Q32" s="135" t="str">
        <f t="shared" si="3"/>
        <v/>
      </c>
      <c r="R32" s="137"/>
      <c r="S32" s="137" t="str">
        <f t="shared" si="4"/>
        <v/>
      </c>
      <c r="T32" s="78"/>
      <c r="U32" s="147"/>
      <c r="V32" s="147"/>
      <c r="W32" s="147"/>
      <c r="X32" s="147"/>
      <c r="Y32" s="148"/>
      <c r="Z32" s="131"/>
      <c r="AA32" s="72"/>
      <c r="AB32" s="5"/>
      <c r="AC32" s="5"/>
    </row>
    <row r="33" ht="18.0" customHeight="1">
      <c r="A33" s="102"/>
      <c r="B33" s="103"/>
      <c r="C33" s="103"/>
      <c r="D33" s="103"/>
      <c r="E33" s="151"/>
      <c r="F33" s="152"/>
      <c r="G33" s="152"/>
      <c r="H33" s="151"/>
      <c r="I33" s="152"/>
      <c r="J33" s="152"/>
      <c r="K33" s="152"/>
      <c r="L33" s="153"/>
      <c r="M33" s="153"/>
      <c r="N33" s="153"/>
      <c r="O33" s="153"/>
      <c r="P33" s="153"/>
      <c r="Q33" s="153"/>
      <c r="R33" s="153"/>
      <c r="S33" s="153"/>
      <c r="T33" s="103"/>
      <c r="U33" s="107"/>
      <c r="V33" s="107"/>
      <c r="W33" s="107"/>
      <c r="X33" s="107"/>
      <c r="Y33" s="107"/>
      <c r="Z33" s="107"/>
      <c r="AA33" s="108"/>
      <c r="AB33" s="5"/>
      <c r="AC33" s="5"/>
    </row>
    <row r="34" ht="18.0" customHeight="1">
      <c r="A34" s="109"/>
      <c r="B34" s="110"/>
      <c r="C34" s="111"/>
      <c r="D34" s="112"/>
      <c r="E34" s="113"/>
      <c r="F34" s="114"/>
      <c r="G34" s="114"/>
      <c r="H34" s="113"/>
      <c r="I34" s="114"/>
      <c r="J34" s="114"/>
      <c r="K34" s="114"/>
      <c r="L34" s="110"/>
      <c r="M34" s="110"/>
      <c r="N34" s="110"/>
      <c r="O34" s="110"/>
      <c r="P34" s="110"/>
      <c r="Q34" s="110"/>
      <c r="R34" s="110"/>
      <c r="S34" s="110"/>
      <c r="T34" s="112"/>
      <c r="U34" s="5"/>
      <c r="V34" s="5"/>
      <c r="W34" s="5"/>
      <c r="X34" s="5"/>
      <c r="Y34" s="5"/>
      <c r="Z34" s="5"/>
      <c r="AA34" s="112"/>
      <c r="AB34" s="5"/>
      <c r="AC34" s="5"/>
    </row>
    <row r="35" ht="18.0" customHeight="1">
      <c r="A35" s="109"/>
      <c r="B35" s="110"/>
      <c r="C35" s="111"/>
      <c r="D35" s="112"/>
      <c r="E35" s="113"/>
      <c r="F35" s="115"/>
      <c r="G35" s="115"/>
      <c r="H35" s="113"/>
      <c r="I35" s="115"/>
      <c r="J35" s="115"/>
      <c r="K35" s="115"/>
      <c r="L35" s="110"/>
      <c r="M35" s="110"/>
      <c r="N35" s="110"/>
      <c r="O35" s="110"/>
      <c r="P35" s="110"/>
      <c r="Q35" s="110"/>
      <c r="R35" s="110"/>
      <c r="S35" s="110"/>
      <c r="T35" s="112"/>
      <c r="U35" s="5"/>
      <c r="V35" s="5"/>
      <c r="W35" s="5"/>
      <c r="X35" s="5"/>
      <c r="Y35" s="5"/>
      <c r="Z35" s="5"/>
      <c r="AA35" s="112"/>
      <c r="AB35" s="5"/>
      <c r="AC35" s="5"/>
    </row>
    <row r="36" ht="18.0" customHeight="1">
      <c r="A36" s="109"/>
      <c r="B36" s="110"/>
      <c r="C36" s="111"/>
      <c r="D36" s="112"/>
      <c r="E36" s="113"/>
      <c r="F36" s="114"/>
      <c r="G36" s="114"/>
      <c r="H36" s="113"/>
      <c r="I36" s="114"/>
      <c r="J36" s="114"/>
      <c r="K36" s="114"/>
      <c r="L36" s="110"/>
      <c r="M36" s="110"/>
      <c r="N36" s="110"/>
      <c r="O36" s="110"/>
      <c r="P36" s="110"/>
      <c r="Q36" s="110"/>
      <c r="R36" s="110"/>
      <c r="S36" s="110"/>
      <c r="T36" s="112"/>
      <c r="U36" s="5"/>
      <c r="V36" s="5"/>
      <c r="W36" s="5"/>
      <c r="X36" s="5"/>
      <c r="Y36" s="5"/>
      <c r="Z36" s="5"/>
      <c r="AA36" s="112"/>
      <c r="AB36" s="5"/>
      <c r="AC36" s="5"/>
    </row>
    <row r="37" ht="18.0" customHeight="1">
      <c r="A37" s="109"/>
      <c r="B37" s="110"/>
      <c r="C37" s="111"/>
      <c r="D37" s="112"/>
      <c r="E37" s="113"/>
      <c r="F37" s="114"/>
      <c r="G37" s="114"/>
      <c r="H37" s="113"/>
      <c r="I37" s="114"/>
      <c r="J37" s="114"/>
      <c r="K37" s="114"/>
      <c r="L37" s="110"/>
      <c r="M37" s="110"/>
      <c r="N37" s="110"/>
      <c r="O37" s="110"/>
      <c r="P37" s="110"/>
      <c r="Q37" s="110"/>
      <c r="R37" s="110"/>
      <c r="S37" s="110"/>
      <c r="T37" s="112"/>
      <c r="U37" s="5"/>
      <c r="V37" s="5"/>
      <c r="W37" s="5"/>
      <c r="X37" s="5"/>
      <c r="Y37" s="5"/>
      <c r="Z37" s="5"/>
      <c r="AA37" s="112"/>
      <c r="AB37" s="5"/>
      <c r="AC37" s="5"/>
    </row>
    <row r="38" ht="18.0" customHeight="1">
      <c r="A38" s="109"/>
      <c r="B38" s="110"/>
      <c r="C38" s="111"/>
      <c r="D38" s="112"/>
      <c r="E38" s="113"/>
      <c r="F38" s="114"/>
      <c r="G38" s="114"/>
      <c r="H38" s="113"/>
      <c r="I38" s="114"/>
      <c r="J38" s="114"/>
      <c r="K38" s="114"/>
      <c r="L38" s="110"/>
      <c r="M38" s="110"/>
      <c r="N38" s="110"/>
      <c r="O38" s="110"/>
      <c r="P38" s="110"/>
      <c r="Q38" s="110"/>
      <c r="R38" s="110"/>
      <c r="S38" s="110"/>
      <c r="T38" s="112"/>
      <c r="U38" s="5"/>
      <c r="V38" s="5"/>
      <c r="W38" s="5"/>
      <c r="X38" s="5"/>
      <c r="Y38" s="5"/>
      <c r="Z38" s="5"/>
      <c r="AA38" s="112"/>
      <c r="AB38" s="5"/>
      <c r="AC38" s="5"/>
    </row>
    <row r="39" ht="18.0" customHeight="1">
      <c r="A39" s="109"/>
      <c r="B39" s="110"/>
      <c r="C39" s="111"/>
      <c r="D39" s="112"/>
      <c r="E39" s="113"/>
      <c r="F39" s="114"/>
      <c r="G39" s="114"/>
      <c r="H39" s="113"/>
      <c r="I39" s="114"/>
      <c r="J39" s="114"/>
      <c r="K39" s="114"/>
      <c r="L39" s="110"/>
      <c r="M39" s="110"/>
      <c r="N39" s="110"/>
      <c r="O39" s="110"/>
      <c r="P39" s="110"/>
      <c r="Q39" s="110"/>
      <c r="R39" s="110"/>
      <c r="S39" s="110"/>
      <c r="T39" s="112"/>
      <c r="U39" s="5"/>
      <c r="V39" s="5"/>
      <c r="W39" s="5"/>
      <c r="X39" s="5"/>
      <c r="Y39" s="5"/>
      <c r="Z39" s="5"/>
      <c r="AA39" s="112"/>
      <c r="AB39" s="5"/>
      <c r="AC39" s="5"/>
    </row>
    <row r="40" ht="18.0" customHeight="1">
      <c r="A40" s="109"/>
      <c r="B40" s="110"/>
      <c r="C40" s="111"/>
      <c r="D40" s="112"/>
      <c r="E40" s="113"/>
      <c r="F40" s="114"/>
      <c r="G40" s="114"/>
      <c r="H40" s="113"/>
      <c r="I40" s="114"/>
      <c r="J40" s="114"/>
      <c r="K40" s="114"/>
      <c r="L40" s="110"/>
      <c r="M40" s="110"/>
      <c r="N40" s="110"/>
      <c r="O40" s="110"/>
      <c r="P40" s="110"/>
      <c r="Q40" s="110"/>
      <c r="R40" s="110"/>
      <c r="S40" s="110"/>
      <c r="T40" s="112"/>
      <c r="U40" s="5"/>
      <c r="V40" s="5"/>
      <c r="W40" s="5"/>
      <c r="X40" s="5"/>
      <c r="Y40" s="5"/>
      <c r="Z40" s="5"/>
      <c r="AA40" s="112"/>
      <c r="AB40" s="5"/>
      <c r="AC40" s="5"/>
    </row>
    <row r="41" ht="18.0" customHeight="1">
      <c r="A41" s="109"/>
      <c r="B41" s="110"/>
      <c r="C41" s="111"/>
      <c r="D41" s="112"/>
      <c r="E41" s="113"/>
      <c r="F41" s="114"/>
      <c r="G41" s="114"/>
      <c r="H41" s="113"/>
      <c r="I41" s="114"/>
      <c r="J41" s="114"/>
      <c r="K41" s="114"/>
      <c r="L41" s="110"/>
      <c r="M41" s="110"/>
      <c r="N41" s="110"/>
      <c r="O41" s="110"/>
      <c r="P41" s="110"/>
      <c r="Q41" s="110"/>
      <c r="R41" s="110"/>
      <c r="S41" s="110"/>
      <c r="T41" s="112"/>
      <c r="U41" s="5"/>
      <c r="V41" s="5"/>
      <c r="W41" s="5"/>
      <c r="X41" s="5"/>
      <c r="Y41" s="5"/>
      <c r="Z41" s="5"/>
      <c r="AA41" s="112"/>
      <c r="AB41" s="5"/>
      <c r="AC41" s="5"/>
    </row>
    <row r="42" ht="18.0" customHeight="1">
      <c r="A42" s="109"/>
      <c r="B42" s="110"/>
      <c r="C42" s="111"/>
      <c r="D42" s="112"/>
      <c r="E42" s="113"/>
      <c r="F42" s="114"/>
      <c r="G42" s="114"/>
      <c r="H42" s="113"/>
      <c r="I42" s="114"/>
      <c r="J42" s="114"/>
      <c r="K42" s="114"/>
      <c r="L42" s="110"/>
      <c r="M42" s="110"/>
      <c r="N42" s="110"/>
      <c r="O42" s="110"/>
      <c r="P42" s="110"/>
      <c r="Q42" s="110"/>
      <c r="R42" s="110"/>
      <c r="S42" s="110"/>
      <c r="T42" s="112"/>
      <c r="U42" s="5"/>
      <c r="V42" s="5"/>
      <c r="W42" s="5"/>
      <c r="X42" s="5"/>
      <c r="Y42" s="5"/>
      <c r="Z42" s="5"/>
      <c r="AA42" s="112"/>
      <c r="AB42" s="5"/>
      <c r="AC42" s="5"/>
    </row>
    <row r="43" ht="18.0" customHeight="1">
      <c r="A43" s="109"/>
      <c r="B43" s="110"/>
      <c r="C43" s="111"/>
      <c r="D43" s="112"/>
      <c r="E43" s="113"/>
      <c r="F43" s="114"/>
      <c r="G43" s="114"/>
      <c r="H43" s="113"/>
      <c r="I43" s="114"/>
      <c r="J43" s="114"/>
      <c r="K43" s="114"/>
      <c r="L43" s="110"/>
      <c r="M43" s="110"/>
      <c r="N43" s="110"/>
      <c r="O43" s="110"/>
      <c r="P43" s="110"/>
      <c r="Q43" s="110"/>
      <c r="R43" s="110"/>
      <c r="S43" s="110"/>
      <c r="T43" s="112"/>
      <c r="U43" s="5"/>
      <c r="V43" s="5"/>
      <c r="W43" s="5"/>
      <c r="X43" s="5"/>
      <c r="Y43" s="5"/>
      <c r="Z43" s="5"/>
      <c r="AA43" s="112"/>
      <c r="AB43" s="5"/>
      <c r="AC43" s="5"/>
    </row>
    <row r="44" ht="18.0" customHeight="1">
      <c r="A44" s="109"/>
      <c r="B44" s="110"/>
      <c r="C44" s="111"/>
      <c r="D44" s="112"/>
      <c r="E44" s="113"/>
      <c r="F44" s="114"/>
      <c r="G44" s="114"/>
      <c r="H44" s="113"/>
      <c r="I44" s="114"/>
      <c r="J44" s="114"/>
      <c r="K44" s="114"/>
      <c r="L44" s="110"/>
      <c r="M44" s="110"/>
      <c r="N44" s="110"/>
      <c r="O44" s="110"/>
      <c r="P44" s="110"/>
      <c r="Q44" s="110"/>
      <c r="R44" s="110"/>
      <c r="S44" s="110"/>
      <c r="T44" s="112"/>
      <c r="U44" s="5"/>
      <c r="V44" s="5"/>
      <c r="W44" s="5"/>
      <c r="X44" s="5"/>
      <c r="Y44" s="5"/>
      <c r="Z44" s="5"/>
      <c r="AA44" s="112"/>
      <c r="AB44" s="5"/>
      <c r="AC44" s="5"/>
    </row>
    <row r="45" ht="18.0" customHeight="1">
      <c r="A45" s="109"/>
      <c r="B45" s="110"/>
      <c r="C45" s="111"/>
      <c r="D45" s="112"/>
      <c r="E45" s="113"/>
      <c r="F45" s="114"/>
      <c r="G45" s="114"/>
      <c r="H45" s="113"/>
      <c r="I45" s="114"/>
      <c r="J45" s="114"/>
      <c r="K45" s="114"/>
      <c r="L45" s="110"/>
      <c r="M45" s="110"/>
      <c r="N45" s="110"/>
      <c r="O45" s="110"/>
      <c r="P45" s="110"/>
      <c r="Q45" s="110"/>
      <c r="R45" s="110"/>
      <c r="S45" s="110"/>
      <c r="T45" s="112"/>
      <c r="U45" s="5"/>
      <c r="V45" s="5"/>
      <c r="W45" s="5"/>
      <c r="X45" s="5"/>
      <c r="Y45" s="5"/>
      <c r="Z45" s="5"/>
      <c r="AA45" s="112"/>
      <c r="AB45" s="5"/>
      <c r="AC45" s="5"/>
    </row>
    <row r="46" ht="18.0" customHeight="1">
      <c r="A46" s="109"/>
      <c r="B46" s="110"/>
      <c r="C46" s="111"/>
      <c r="D46" s="112"/>
      <c r="E46" s="113"/>
      <c r="F46" s="114"/>
      <c r="G46" s="114"/>
      <c r="H46" s="113"/>
      <c r="I46" s="114"/>
      <c r="J46" s="114"/>
      <c r="K46" s="114"/>
      <c r="L46" s="110"/>
      <c r="M46" s="110"/>
      <c r="N46" s="110"/>
      <c r="O46" s="110"/>
      <c r="P46" s="110"/>
      <c r="Q46" s="110"/>
      <c r="R46" s="110"/>
      <c r="S46" s="110"/>
      <c r="T46" s="112"/>
      <c r="U46" s="5"/>
      <c r="V46" s="5"/>
      <c r="W46" s="5"/>
      <c r="X46" s="5"/>
      <c r="Y46" s="5"/>
      <c r="Z46" s="5"/>
      <c r="AA46" s="112"/>
      <c r="AB46" s="5"/>
      <c r="AC46" s="5"/>
    </row>
    <row r="47" ht="18.0" customHeight="1">
      <c r="A47" s="109"/>
      <c r="B47" s="110"/>
      <c r="C47" s="111"/>
      <c r="D47" s="112"/>
      <c r="E47" s="113"/>
      <c r="F47" s="114"/>
      <c r="G47" s="114"/>
      <c r="H47" s="113"/>
      <c r="I47" s="114"/>
      <c r="J47" s="114"/>
      <c r="K47" s="114"/>
      <c r="L47" s="110"/>
      <c r="M47" s="110"/>
      <c r="N47" s="110"/>
      <c r="O47" s="110"/>
      <c r="P47" s="110"/>
      <c r="Q47" s="110"/>
      <c r="R47" s="110"/>
      <c r="S47" s="110"/>
      <c r="T47" s="112"/>
      <c r="U47" s="5"/>
      <c r="V47" s="5"/>
      <c r="W47" s="5"/>
      <c r="X47" s="5"/>
      <c r="Y47" s="5"/>
      <c r="Z47" s="5"/>
      <c r="AA47" s="112"/>
      <c r="AB47" s="5"/>
      <c r="AC47" s="5"/>
    </row>
    <row r="48" ht="18.0" customHeight="1">
      <c r="A48" s="109"/>
      <c r="B48" s="110"/>
      <c r="C48" s="111"/>
      <c r="D48" s="112"/>
      <c r="E48" s="113"/>
      <c r="F48" s="114"/>
      <c r="G48" s="114"/>
      <c r="H48" s="113"/>
      <c r="I48" s="114"/>
      <c r="J48" s="114"/>
      <c r="K48" s="114"/>
      <c r="L48" s="110"/>
      <c r="M48" s="110"/>
      <c r="N48" s="110"/>
      <c r="O48" s="110"/>
      <c r="P48" s="110"/>
      <c r="Q48" s="110"/>
      <c r="R48" s="110"/>
      <c r="S48" s="110"/>
      <c r="T48" s="112"/>
      <c r="U48" s="5"/>
      <c r="V48" s="5"/>
      <c r="W48" s="5"/>
      <c r="X48" s="5"/>
      <c r="Y48" s="5"/>
      <c r="Z48" s="5"/>
      <c r="AA48" s="112"/>
      <c r="AB48" s="5"/>
      <c r="AC48" s="5"/>
    </row>
    <row r="49" ht="18.0" customHeight="1">
      <c r="A49" s="109"/>
      <c r="B49" s="110"/>
      <c r="C49" s="111"/>
      <c r="D49" s="112"/>
      <c r="E49" s="113"/>
      <c r="F49" s="114"/>
      <c r="G49" s="114"/>
      <c r="H49" s="113"/>
      <c r="I49" s="114"/>
      <c r="J49" s="114"/>
      <c r="K49" s="114"/>
      <c r="L49" s="110"/>
      <c r="M49" s="110"/>
      <c r="N49" s="110"/>
      <c r="O49" s="110"/>
      <c r="P49" s="110"/>
      <c r="Q49" s="110"/>
      <c r="R49" s="110"/>
      <c r="S49" s="110"/>
      <c r="T49" s="112"/>
      <c r="U49" s="5"/>
      <c r="V49" s="5"/>
      <c r="W49" s="5"/>
      <c r="X49" s="5"/>
      <c r="Y49" s="5"/>
      <c r="Z49" s="5"/>
      <c r="AA49" s="112"/>
      <c r="AB49" s="5"/>
      <c r="AC49" s="5"/>
    </row>
    <row r="50" ht="18.0" customHeight="1">
      <c r="A50" s="109"/>
      <c r="B50" s="110"/>
      <c r="C50" s="111"/>
      <c r="D50" s="112"/>
      <c r="E50" s="113"/>
      <c r="F50" s="114"/>
      <c r="G50" s="114"/>
      <c r="H50" s="113"/>
      <c r="I50" s="114"/>
      <c r="J50" s="114"/>
      <c r="K50" s="114"/>
      <c r="L50" s="110"/>
      <c r="M50" s="110"/>
      <c r="N50" s="110"/>
      <c r="O50" s="110"/>
      <c r="P50" s="110"/>
      <c r="Q50" s="110"/>
      <c r="R50" s="110"/>
      <c r="S50" s="110"/>
      <c r="T50" s="112"/>
      <c r="U50" s="5"/>
      <c r="V50" s="5"/>
      <c r="W50" s="5"/>
      <c r="X50" s="5"/>
      <c r="Y50" s="5"/>
      <c r="Z50" s="5"/>
      <c r="AA50" s="112"/>
      <c r="AB50" s="5"/>
      <c r="AC50" s="5"/>
    </row>
    <row r="51" ht="18.0" customHeight="1">
      <c r="A51" s="109"/>
      <c r="B51" s="110"/>
      <c r="C51" s="111"/>
      <c r="D51" s="112"/>
      <c r="E51" s="113"/>
      <c r="F51" s="114"/>
      <c r="G51" s="114"/>
      <c r="H51" s="113"/>
      <c r="I51" s="114"/>
      <c r="J51" s="114"/>
      <c r="K51" s="114"/>
      <c r="L51" s="110"/>
      <c r="M51" s="110"/>
      <c r="N51" s="110"/>
      <c r="O51" s="110"/>
      <c r="P51" s="110"/>
      <c r="Q51" s="110"/>
      <c r="R51" s="110"/>
      <c r="S51" s="110"/>
      <c r="T51" s="112"/>
      <c r="U51" s="5"/>
      <c r="V51" s="5"/>
      <c r="W51" s="5"/>
      <c r="X51" s="5"/>
      <c r="Y51" s="5"/>
      <c r="Z51" s="5"/>
      <c r="AA51" s="112"/>
      <c r="AB51" s="5"/>
      <c r="AC51" s="5"/>
    </row>
    <row r="52" ht="18.0" customHeight="1">
      <c r="A52" s="109"/>
      <c r="B52" s="110"/>
      <c r="C52" s="111"/>
      <c r="D52" s="112"/>
      <c r="E52" s="113"/>
      <c r="F52" s="114"/>
      <c r="G52" s="114"/>
      <c r="H52" s="113"/>
      <c r="I52" s="114"/>
      <c r="J52" s="114"/>
      <c r="K52" s="114"/>
      <c r="L52" s="110"/>
      <c r="M52" s="110"/>
      <c r="N52" s="110"/>
      <c r="O52" s="110"/>
      <c r="P52" s="110"/>
      <c r="Q52" s="110"/>
      <c r="R52" s="110"/>
      <c r="S52" s="110"/>
      <c r="T52" s="112"/>
      <c r="U52" s="5"/>
      <c r="V52" s="5"/>
      <c r="W52" s="5"/>
      <c r="X52" s="5"/>
      <c r="Y52" s="5"/>
      <c r="Z52" s="5"/>
      <c r="AA52" s="112"/>
      <c r="AB52" s="5"/>
      <c r="AC52" s="5"/>
    </row>
    <row r="53" ht="18.0" customHeight="1">
      <c r="A53" s="109"/>
      <c r="B53" s="110"/>
      <c r="C53" s="111"/>
      <c r="D53" s="112"/>
      <c r="E53" s="113"/>
      <c r="F53" s="114"/>
      <c r="G53" s="114"/>
      <c r="H53" s="113"/>
      <c r="I53" s="114"/>
      <c r="J53" s="114"/>
      <c r="K53" s="114"/>
      <c r="L53" s="110"/>
      <c r="M53" s="110"/>
      <c r="N53" s="110"/>
      <c r="O53" s="110"/>
      <c r="P53" s="110"/>
      <c r="Q53" s="110"/>
      <c r="R53" s="110"/>
      <c r="S53" s="110"/>
      <c r="T53" s="112"/>
      <c r="U53" s="5"/>
      <c r="V53" s="5"/>
      <c r="W53" s="5"/>
      <c r="X53" s="5"/>
      <c r="Y53" s="5"/>
      <c r="Z53" s="5"/>
      <c r="AA53" s="112"/>
      <c r="AB53" s="5"/>
      <c r="AC53" s="5"/>
    </row>
    <row r="54" ht="18.0" customHeight="1">
      <c r="A54" s="109"/>
      <c r="B54" s="110"/>
      <c r="C54" s="111"/>
      <c r="D54" s="112"/>
      <c r="E54" s="113"/>
      <c r="F54" s="114"/>
      <c r="G54" s="114"/>
      <c r="H54" s="113"/>
      <c r="I54" s="114"/>
      <c r="J54" s="114"/>
      <c r="K54" s="114"/>
      <c r="L54" s="110"/>
      <c r="M54" s="110"/>
      <c r="N54" s="110"/>
      <c r="O54" s="110"/>
      <c r="P54" s="110"/>
      <c r="Q54" s="110"/>
      <c r="R54" s="110"/>
      <c r="S54" s="110"/>
      <c r="T54" s="112"/>
      <c r="U54" s="5"/>
      <c r="V54" s="5"/>
      <c r="W54" s="5"/>
      <c r="X54" s="5"/>
      <c r="Y54" s="5"/>
      <c r="Z54" s="5"/>
      <c r="AA54" s="112"/>
      <c r="AB54" s="5"/>
      <c r="AC54" s="5"/>
    </row>
    <row r="55" ht="18.0" customHeight="1">
      <c r="A55" s="109"/>
      <c r="B55" s="110"/>
      <c r="C55" s="111"/>
      <c r="D55" s="112"/>
      <c r="E55" s="113"/>
      <c r="F55" s="114"/>
      <c r="G55" s="114"/>
      <c r="H55" s="113"/>
      <c r="I55" s="114"/>
      <c r="J55" s="114"/>
      <c r="K55" s="114"/>
      <c r="L55" s="110"/>
      <c r="M55" s="110"/>
      <c r="N55" s="110"/>
      <c r="O55" s="110"/>
      <c r="P55" s="110"/>
      <c r="Q55" s="110"/>
      <c r="R55" s="110"/>
      <c r="S55" s="110"/>
      <c r="T55" s="112"/>
      <c r="U55" s="5"/>
      <c r="V55" s="5"/>
      <c r="W55" s="5"/>
      <c r="X55" s="5"/>
      <c r="Y55" s="5"/>
      <c r="Z55" s="5"/>
      <c r="AA55" s="112"/>
      <c r="AB55" s="5"/>
      <c r="AC55" s="5"/>
    </row>
    <row r="56" ht="18.0" customHeight="1">
      <c r="A56" s="109"/>
      <c r="B56" s="110"/>
      <c r="C56" s="111"/>
      <c r="D56" s="112"/>
      <c r="E56" s="113"/>
      <c r="F56" s="114"/>
      <c r="G56" s="114"/>
      <c r="H56" s="113"/>
      <c r="I56" s="114"/>
      <c r="J56" s="114"/>
      <c r="K56" s="114"/>
      <c r="L56" s="110"/>
      <c r="M56" s="110"/>
      <c r="N56" s="110"/>
      <c r="O56" s="110"/>
      <c r="P56" s="110"/>
      <c r="Q56" s="110"/>
      <c r="R56" s="110"/>
      <c r="S56" s="110"/>
      <c r="T56" s="112"/>
      <c r="U56" s="5"/>
      <c r="V56" s="5"/>
      <c r="W56" s="5"/>
      <c r="X56" s="5"/>
      <c r="Y56" s="5"/>
      <c r="Z56" s="5"/>
      <c r="AA56" s="112"/>
      <c r="AB56" s="5"/>
      <c r="AC56" s="5"/>
    </row>
    <row r="57" ht="18.0" customHeight="1">
      <c r="A57" s="109"/>
      <c r="B57" s="110"/>
      <c r="C57" s="111"/>
      <c r="D57" s="112"/>
      <c r="E57" s="113"/>
      <c r="F57" s="114"/>
      <c r="G57" s="114"/>
      <c r="H57" s="113"/>
      <c r="I57" s="114"/>
      <c r="J57" s="114"/>
      <c r="K57" s="114"/>
      <c r="L57" s="110"/>
      <c r="M57" s="110"/>
      <c r="N57" s="110"/>
      <c r="O57" s="110"/>
      <c r="P57" s="110"/>
      <c r="Q57" s="110"/>
      <c r="R57" s="110"/>
      <c r="S57" s="110"/>
      <c r="T57" s="112"/>
      <c r="U57" s="5"/>
      <c r="V57" s="5"/>
      <c r="W57" s="5"/>
      <c r="X57" s="5"/>
      <c r="Y57" s="5"/>
      <c r="Z57" s="5"/>
      <c r="AA57" s="112"/>
      <c r="AB57" s="5"/>
      <c r="AC57" s="5"/>
    </row>
    <row r="58" ht="18.0" customHeight="1">
      <c r="A58" s="109"/>
      <c r="B58" s="110"/>
      <c r="C58" s="111"/>
      <c r="D58" s="112"/>
      <c r="E58" s="113"/>
      <c r="F58" s="114"/>
      <c r="G58" s="114"/>
      <c r="H58" s="113"/>
      <c r="I58" s="114"/>
      <c r="J58" s="114"/>
      <c r="K58" s="114"/>
      <c r="L58" s="110"/>
      <c r="M58" s="110"/>
      <c r="N58" s="110"/>
      <c r="O58" s="110"/>
      <c r="P58" s="110"/>
      <c r="Q58" s="110"/>
      <c r="R58" s="110"/>
      <c r="S58" s="110"/>
      <c r="T58" s="112"/>
      <c r="U58" s="5"/>
      <c r="V58" s="5"/>
      <c r="W58" s="5"/>
      <c r="X58" s="5"/>
      <c r="Y58" s="5"/>
      <c r="Z58" s="5"/>
      <c r="AA58" s="112"/>
      <c r="AB58" s="5"/>
      <c r="AC58" s="5"/>
    </row>
    <row r="59" ht="18.0" customHeight="1">
      <c r="A59" s="109"/>
      <c r="B59" s="110"/>
      <c r="C59" s="111"/>
      <c r="D59" s="112"/>
      <c r="E59" s="113"/>
      <c r="F59" s="114"/>
      <c r="G59" s="114"/>
      <c r="H59" s="113"/>
      <c r="I59" s="114"/>
      <c r="J59" s="114"/>
      <c r="K59" s="114"/>
      <c r="L59" s="110"/>
      <c r="M59" s="110"/>
      <c r="N59" s="110"/>
      <c r="O59" s="110"/>
      <c r="P59" s="110"/>
      <c r="Q59" s="110"/>
      <c r="R59" s="110"/>
      <c r="S59" s="110"/>
      <c r="T59" s="112"/>
      <c r="U59" s="5"/>
      <c r="V59" s="5"/>
      <c r="W59" s="5"/>
      <c r="X59" s="5"/>
      <c r="Y59" s="5"/>
      <c r="Z59" s="5"/>
      <c r="AA59" s="112"/>
      <c r="AB59" s="5"/>
      <c r="AC59" s="5"/>
    </row>
    <row r="60" ht="18.0" customHeight="1">
      <c r="A60" s="109"/>
      <c r="B60" s="110"/>
      <c r="C60" s="111"/>
      <c r="D60" s="112"/>
      <c r="E60" s="113"/>
      <c r="F60" s="114"/>
      <c r="G60" s="114"/>
      <c r="H60" s="113"/>
      <c r="I60" s="114"/>
      <c r="J60" s="114"/>
      <c r="K60" s="114"/>
      <c r="L60" s="110"/>
      <c r="M60" s="110"/>
      <c r="N60" s="110"/>
      <c r="O60" s="110"/>
      <c r="P60" s="110"/>
      <c r="Q60" s="110"/>
      <c r="R60" s="110"/>
      <c r="S60" s="110"/>
      <c r="T60" s="112"/>
      <c r="U60" s="5"/>
      <c r="V60" s="5"/>
      <c r="W60" s="5"/>
      <c r="X60" s="5"/>
      <c r="Y60" s="5"/>
      <c r="Z60" s="5"/>
      <c r="AA60" s="112"/>
      <c r="AB60" s="5"/>
      <c r="AC60" s="5"/>
    </row>
    <row r="61" ht="18.0" customHeight="1">
      <c r="A61" s="109"/>
      <c r="B61" s="110"/>
      <c r="C61" s="111"/>
      <c r="D61" s="112"/>
      <c r="E61" s="113"/>
      <c r="F61" s="114"/>
      <c r="G61" s="114"/>
      <c r="H61" s="113"/>
      <c r="I61" s="114"/>
      <c r="J61" s="114"/>
      <c r="K61" s="114"/>
      <c r="L61" s="110"/>
      <c r="M61" s="110"/>
      <c r="N61" s="110"/>
      <c r="O61" s="110"/>
      <c r="P61" s="110"/>
      <c r="Q61" s="110"/>
      <c r="R61" s="110"/>
      <c r="S61" s="110"/>
      <c r="T61" s="112"/>
      <c r="U61" s="5"/>
      <c r="V61" s="5"/>
      <c r="W61" s="5"/>
      <c r="X61" s="5"/>
      <c r="Y61" s="5"/>
      <c r="Z61" s="5"/>
      <c r="AA61" s="112"/>
      <c r="AB61" s="5"/>
      <c r="AC61" s="5"/>
    </row>
    <row r="62" ht="18.0" customHeight="1">
      <c r="A62" s="109"/>
      <c r="B62" s="110"/>
      <c r="C62" s="111"/>
      <c r="D62" s="112"/>
      <c r="E62" s="113"/>
      <c r="F62" s="114"/>
      <c r="G62" s="114"/>
      <c r="H62" s="113"/>
      <c r="I62" s="114"/>
      <c r="J62" s="114"/>
      <c r="K62" s="114"/>
      <c r="L62" s="110"/>
      <c r="M62" s="110"/>
      <c r="N62" s="110"/>
      <c r="O62" s="110"/>
      <c r="P62" s="110"/>
      <c r="Q62" s="110"/>
      <c r="R62" s="110"/>
      <c r="S62" s="110"/>
      <c r="T62" s="112"/>
      <c r="U62" s="5"/>
      <c r="V62" s="5"/>
      <c r="W62" s="5"/>
      <c r="X62" s="5"/>
      <c r="Y62" s="5"/>
      <c r="Z62" s="5"/>
      <c r="AA62" s="112"/>
      <c r="AB62" s="5"/>
      <c r="AC62" s="5"/>
    </row>
    <row r="63" ht="18.0" customHeight="1">
      <c r="A63" s="109"/>
      <c r="B63" s="110"/>
      <c r="C63" s="111"/>
      <c r="D63" s="112"/>
      <c r="E63" s="113"/>
      <c r="F63" s="114"/>
      <c r="G63" s="114"/>
      <c r="H63" s="113"/>
      <c r="I63" s="114"/>
      <c r="J63" s="114"/>
      <c r="K63" s="114"/>
      <c r="L63" s="110"/>
      <c r="M63" s="110"/>
      <c r="N63" s="110"/>
      <c r="O63" s="110"/>
      <c r="P63" s="110"/>
      <c r="Q63" s="110"/>
      <c r="R63" s="110"/>
      <c r="S63" s="110"/>
      <c r="T63" s="112"/>
      <c r="U63" s="5"/>
      <c r="V63" s="5"/>
      <c r="W63" s="5"/>
      <c r="X63" s="5"/>
      <c r="Y63" s="5"/>
      <c r="Z63" s="5"/>
      <c r="AA63" s="112"/>
      <c r="AB63" s="5"/>
      <c r="AC63" s="5"/>
    </row>
    <row r="64" ht="18.0" customHeight="1">
      <c r="A64" s="109"/>
      <c r="B64" s="110"/>
      <c r="C64" s="111"/>
      <c r="D64" s="112"/>
      <c r="E64" s="113"/>
      <c r="F64" s="114"/>
      <c r="G64" s="114"/>
      <c r="H64" s="113"/>
      <c r="I64" s="114"/>
      <c r="J64" s="114"/>
      <c r="K64" s="114"/>
      <c r="L64" s="110"/>
      <c r="M64" s="110"/>
      <c r="N64" s="110"/>
      <c r="O64" s="110"/>
      <c r="P64" s="110"/>
      <c r="Q64" s="110"/>
      <c r="R64" s="110"/>
      <c r="S64" s="110"/>
      <c r="T64" s="112"/>
      <c r="U64" s="5"/>
      <c r="V64" s="5"/>
      <c r="W64" s="5"/>
      <c r="X64" s="5"/>
      <c r="Y64" s="5"/>
      <c r="Z64" s="5"/>
      <c r="AA64" s="112"/>
      <c r="AB64" s="5"/>
      <c r="AC64" s="5"/>
    </row>
    <row r="65" ht="18.0" customHeight="1">
      <c r="A65" s="109"/>
      <c r="B65" s="110"/>
      <c r="C65" s="111"/>
      <c r="D65" s="112"/>
      <c r="E65" s="113"/>
      <c r="F65" s="114"/>
      <c r="G65" s="114"/>
      <c r="H65" s="113"/>
      <c r="I65" s="114"/>
      <c r="J65" s="114"/>
      <c r="K65" s="114"/>
      <c r="L65" s="110"/>
      <c r="M65" s="110"/>
      <c r="N65" s="110"/>
      <c r="O65" s="110"/>
      <c r="P65" s="110"/>
      <c r="Q65" s="110"/>
      <c r="R65" s="110"/>
      <c r="S65" s="110"/>
      <c r="T65" s="112"/>
      <c r="U65" s="5"/>
      <c r="V65" s="5"/>
      <c r="W65" s="5"/>
      <c r="X65" s="5"/>
      <c r="Y65" s="5"/>
      <c r="Z65" s="5"/>
      <c r="AA65" s="112"/>
      <c r="AB65" s="5"/>
      <c r="AC65" s="5"/>
    </row>
    <row r="66" ht="18.0" customHeight="1">
      <c r="A66" s="109"/>
      <c r="B66" s="110"/>
      <c r="C66" s="111"/>
      <c r="D66" s="112"/>
      <c r="E66" s="113"/>
      <c r="F66" s="114"/>
      <c r="G66" s="114"/>
      <c r="H66" s="113"/>
      <c r="I66" s="114"/>
      <c r="J66" s="114"/>
      <c r="K66" s="114"/>
      <c r="L66" s="110"/>
      <c r="M66" s="110"/>
      <c r="N66" s="110"/>
      <c r="O66" s="110"/>
      <c r="P66" s="110"/>
      <c r="Q66" s="110"/>
      <c r="R66" s="110"/>
      <c r="S66" s="110"/>
      <c r="T66" s="112"/>
      <c r="U66" s="5"/>
      <c r="V66" s="5"/>
      <c r="W66" s="5"/>
      <c r="X66" s="5"/>
      <c r="Y66" s="5"/>
      <c r="Z66" s="5"/>
      <c r="AA66" s="112"/>
      <c r="AB66" s="5"/>
      <c r="AC66" s="5"/>
    </row>
    <row r="67" ht="18.0" customHeight="1">
      <c r="A67" s="109"/>
      <c r="B67" s="110"/>
      <c r="C67" s="111"/>
      <c r="D67" s="112"/>
      <c r="E67" s="113"/>
      <c r="F67" s="114"/>
      <c r="G67" s="114"/>
      <c r="H67" s="113"/>
      <c r="I67" s="114"/>
      <c r="J67" s="114"/>
      <c r="K67" s="114"/>
      <c r="L67" s="110"/>
      <c r="M67" s="110"/>
      <c r="N67" s="110"/>
      <c r="O67" s="110"/>
      <c r="P67" s="110"/>
      <c r="Q67" s="110"/>
      <c r="R67" s="110"/>
      <c r="S67" s="110"/>
      <c r="T67" s="112"/>
      <c r="U67" s="5"/>
      <c r="V67" s="5"/>
      <c r="W67" s="5"/>
      <c r="X67" s="5"/>
      <c r="Y67" s="5"/>
      <c r="Z67" s="5"/>
      <c r="AA67" s="112"/>
      <c r="AB67" s="5"/>
      <c r="AC67" s="5"/>
    </row>
    <row r="68" ht="18.0" customHeight="1">
      <c r="A68" s="109"/>
      <c r="B68" s="110"/>
      <c r="C68" s="111"/>
      <c r="D68" s="112"/>
      <c r="E68" s="113"/>
      <c r="F68" s="114"/>
      <c r="G68" s="114"/>
      <c r="H68" s="113"/>
      <c r="I68" s="114"/>
      <c r="J68" s="114"/>
      <c r="K68" s="114"/>
      <c r="L68" s="110"/>
      <c r="M68" s="110"/>
      <c r="N68" s="110"/>
      <c r="O68" s="110"/>
      <c r="P68" s="110"/>
      <c r="Q68" s="110"/>
      <c r="R68" s="110"/>
      <c r="S68" s="110"/>
      <c r="T68" s="112"/>
      <c r="U68" s="5"/>
      <c r="V68" s="5"/>
      <c r="W68" s="5"/>
      <c r="X68" s="5"/>
      <c r="Y68" s="5"/>
      <c r="Z68" s="5"/>
      <c r="AA68" s="112"/>
      <c r="AB68" s="5"/>
      <c r="AC68" s="5"/>
    </row>
    <row r="69" ht="18.0" customHeight="1">
      <c r="A69" s="109"/>
      <c r="B69" s="110"/>
      <c r="C69" s="111"/>
      <c r="D69" s="112"/>
      <c r="E69" s="113"/>
      <c r="F69" s="114"/>
      <c r="G69" s="114"/>
      <c r="H69" s="113"/>
      <c r="I69" s="114"/>
      <c r="J69" s="114"/>
      <c r="K69" s="114"/>
      <c r="L69" s="110"/>
      <c r="M69" s="110"/>
      <c r="N69" s="110"/>
      <c r="O69" s="110"/>
      <c r="P69" s="110"/>
      <c r="Q69" s="110"/>
      <c r="R69" s="110"/>
      <c r="S69" s="110"/>
      <c r="T69" s="112"/>
      <c r="U69" s="5"/>
      <c r="V69" s="5"/>
      <c r="W69" s="5"/>
      <c r="X69" s="5"/>
      <c r="Y69" s="5"/>
      <c r="Z69" s="5"/>
      <c r="AA69" s="112"/>
      <c r="AB69" s="5"/>
      <c r="AC69" s="5"/>
    </row>
    <row r="70" ht="18.0" customHeight="1">
      <c r="A70" s="109"/>
      <c r="B70" s="110"/>
      <c r="C70" s="111"/>
      <c r="D70" s="112"/>
      <c r="E70" s="113"/>
      <c r="F70" s="114"/>
      <c r="G70" s="114"/>
      <c r="H70" s="113"/>
      <c r="I70" s="114"/>
      <c r="J70" s="114"/>
      <c r="K70" s="114"/>
      <c r="L70" s="110"/>
      <c r="M70" s="110"/>
      <c r="N70" s="110"/>
      <c r="O70" s="110"/>
      <c r="P70" s="110"/>
      <c r="Q70" s="110"/>
      <c r="R70" s="110"/>
      <c r="S70" s="110"/>
      <c r="T70" s="112"/>
      <c r="U70" s="5"/>
      <c r="V70" s="5"/>
      <c r="W70" s="5"/>
      <c r="X70" s="5"/>
      <c r="Y70" s="5"/>
      <c r="Z70" s="5"/>
      <c r="AA70" s="112"/>
      <c r="AB70" s="5"/>
      <c r="AC70" s="5"/>
    </row>
    <row r="71" ht="18.0" customHeight="1">
      <c r="A71" s="109"/>
      <c r="B71" s="110"/>
      <c r="C71" s="111"/>
      <c r="D71" s="112"/>
      <c r="E71" s="113"/>
      <c r="F71" s="114"/>
      <c r="G71" s="114"/>
      <c r="H71" s="113"/>
      <c r="I71" s="114"/>
      <c r="J71" s="114"/>
      <c r="K71" s="114"/>
      <c r="L71" s="110"/>
      <c r="M71" s="110"/>
      <c r="N71" s="110"/>
      <c r="O71" s="110"/>
      <c r="P71" s="110"/>
      <c r="Q71" s="110"/>
      <c r="R71" s="110"/>
      <c r="S71" s="110"/>
      <c r="T71" s="112"/>
      <c r="U71" s="5"/>
      <c r="V71" s="5"/>
      <c r="W71" s="5"/>
      <c r="X71" s="5"/>
      <c r="Y71" s="5"/>
      <c r="Z71" s="5"/>
      <c r="AA71" s="112"/>
      <c r="AB71" s="5"/>
      <c r="AC71" s="5"/>
    </row>
    <row r="72" ht="18.0" customHeight="1">
      <c r="A72" s="109"/>
      <c r="B72" s="110"/>
      <c r="C72" s="111"/>
      <c r="D72" s="112"/>
      <c r="E72" s="113"/>
      <c r="F72" s="114"/>
      <c r="G72" s="114"/>
      <c r="H72" s="113"/>
      <c r="I72" s="114"/>
      <c r="J72" s="114"/>
      <c r="K72" s="114"/>
      <c r="L72" s="110"/>
      <c r="M72" s="110"/>
      <c r="N72" s="110"/>
      <c r="O72" s="110"/>
      <c r="P72" s="110"/>
      <c r="Q72" s="110"/>
      <c r="R72" s="110"/>
      <c r="S72" s="110"/>
      <c r="T72" s="112"/>
      <c r="U72" s="5"/>
      <c r="V72" s="5"/>
      <c r="W72" s="5"/>
      <c r="X72" s="5"/>
      <c r="Y72" s="5"/>
      <c r="Z72" s="5"/>
      <c r="AA72" s="112"/>
      <c r="AB72" s="5"/>
      <c r="AC72" s="5"/>
    </row>
    <row r="73" ht="18.0" customHeight="1">
      <c r="A73" s="109"/>
      <c r="B73" s="110"/>
      <c r="C73" s="111"/>
      <c r="D73" s="112"/>
      <c r="E73" s="113"/>
      <c r="F73" s="114"/>
      <c r="G73" s="114"/>
      <c r="H73" s="113"/>
      <c r="I73" s="114"/>
      <c r="J73" s="114"/>
      <c r="K73" s="114"/>
      <c r="L73" s="110"/>
      <c r="M73" s="110"/>
      <c r="N73" s="110"/>
      <c r="O73" s="110"/>
      <c r="P73" s="110"/>
      <c r="Q73" s="110"/>
      <c r="R73" s="110"/>
      <c r="S73" s="110"/>
      <c r="T73" s="112"/>
      <c r="U73" s="5"/>
      <c r="V73" s="5"/>
      <c r="W73" s="5"/>
      <c r="X73" s="5"/>
      <c r="Y73" s="5"/>
      <c r="Z73" s="5"/>
      <c r="AA73" s="112"/>
      <c r="AB73" s="5"/>
      <c r="AC73" s="5"/>
    </row>
    <row r="74" ht="18.0" customHeight="1">
      <c r="A74" s="109"/>
      <c r="B74" s="110"/>
      <c r="C74" s="111"/>
      <c r="D74" s="112"/>
      <c r="E74" s="113"/>
      <c r="F74" s="114"/>
      <c r="G74" s="114"/>
      <c r="H74" s="113"/>
      <c r="I74" s="114"/>
      <c r="J74" s="114"/>
      <c r="K74" s="114"/>
      <c r="L74" s="110"/>
      <c r="M74" s="110"/>
      <c r="N74" s="110"/>
      <c r="O74" s="110"/>
      <c r="P74" s="110"/>
      <c r="Q74" s="110"/>
      <c r="R74" s="110"/>
      <c r="S74" s="110"/>
      <c r="T74" s="112"/>
      <c r="U74" s="5"/>
      <c r="V74" s="5"/>
      <c r="W74" s="5"/>
      <c r="X74" s="5"/>
      <c r="Y74" s="5"/>
      <c r="Z74" s="5"/>
      <c r="AA74" s="112"/>
      <c r="AB74" s="5"/>
      <c r="AC74" s="5"/>
    </row>
    <row r="75" ht="18.0" customHeight="1">
      <c r="A75" s="109"/>
      <c r="B75" s="110"/>
      <c r="C75" s="111"/>
      <c r="D75" s="112"/>
      <c r="E75" s="113"/>
      <c r="F75" s="114"/>
      <c r="G75" s="114"/>
      <c r="H75" s="113"/>
      <c r="I75" s="114"/>
      <c r="J75" s="114"/>
      <c r="K75" s="114"/>
      <c r="L75" s="110"/>
      <c r="M75" s="110"/>
      <c r="N75" s="110"/>
      <c r="O75" s="110"/>
      <c r="P75" s="110"/>
      <c r="Q75" s="110"/>
      <c r="R75" s="110"/>
      <c r="S75" s="110"/>
      <c r="T75" s="112"/>
      <c r="U75" s="5"/>
      <c r="V75" s="5"/>
      <c r="W75" s="5"/>
      <c r="X75" s="5"/>
      <c r="Y75" s="5"/>
      <c r="Z75" s="5"/>
      <c r="AA75" s="112"/>
      <c r="AB75" s="5"/>
      <c r="AC75" s="5"/>
    </row>
    <row r="76" ht="18.0" customHeight="1">
      <c r="A76" s="109"/>
      <c r="B76" s="110"/>
      <c r="C76" s="111"/>
      <c r="D76" s="112"/>
      <c r="E76" s="113"/>
      <c r="F76" s="114"/>
      <c r="G76" s="114"/>
      <c r="H76" s="113"/>
      <c r="I76" s="114"/>
      <c r="J76" s="114"/>
      <c r="K76" s="114"/>
      <c r="L76" s="110"/>
      <c r="M76" s="110"/>
      <c r="N76" s="110"/>
      <c r="O76" s="110"/>
      <c r="P76" s="110"/>
      <c r="Q76" s="110"/>
      <c r="R76" s="110"/>
      <c r="S76" s="110"/>
      <c r="T76" s="112"/>
      <c r="U76" s="5"/>
      <c r="V76" s="5"/>
      <c r="W76" s="5"/>
      <c r="X76" s="5"/>
      <c r="Y76" s="5"/>
      <c r="Z76" s="5"/>
      <c r="AA76" s="112"/>
      <c r="AB76" s="5"/>
      <c r="AC76" s="5"/>
    </row>
    <row r="77" ht="18.0" customHeight="1">
      <c r="A77" s="109"/>
      <c r="B77" s="110"/>
      <c r="C77" s="111"/>
      <c r="D77" s="112"/>
      <c r="E77" s="113"/>
      <c r="F77" s="114"/>
      <c r="G77" s="114"/>
      <c r="H77" s="113"/>
      <c r="I77" s="114"/>
      <c r="J77" s="114"/>
      <c r="K77" s="114"/>
      <c r="L77" s="110"/>
      <c r="M77" s="110"/>
      <c r="N77" s="110"/>
      <c r="O77" s="110"/>
      <c r="P77" s="110"/>
      <c r="Q77" s="110"/>
      <c r="R77" s="110"/>
      <c r="S77" s="110"/>
      <c r="T77" s="112"/>
      <c r="U77" s="5"/>
      <c r="V77" s="5"/>
      <c r="W77" s="5"/>
      <c r="X77" s="5"/>
      <c r="Y77" s="5"/>
      <c r="Z77" s="5"/>
      <c r="AA77" s="112"/>
      <c r="AB77" s="5"/>
      <c r="AC77" s="5"/>
    </row>
    <row r="78" ht="18.0" customHeight="1">
      <c r="A78" s="109"/>
      <c r="B78" s="110"/>
      <c r="C78" s="111"/>
      <c r="D78" s="112"/>
      <c r="E78" s="113"/>
      <c r="F78" s="114"/>
      <c r="G78" s="114"/>
      <c r="H78" s="113"/>
      <c r="I78" s="114"/>
      <c r="J78" s="114"/>
      <c r="K78" s="114"/>
      <c r="L78" s="110"/>
      <c r="M78" s="110"/>
      <c r="N78" s="110"/>
      <c r="O78" s="110"/>
      <c r="P78" s="110"/>
      <c r="Q78" s="110"/>
      <c r="R78" s="110"/>
      <c r="S78" s="110"/>
      <c r="T78" s="112"/>
      <c r="U78" s="5"/>
      <c r="V78" s="5"/>
      <c r="W78" s="5"/>
      <c r="X78" s="5"/>
      <c r="Y78" s="5"/>
      <c r="Z78" s="5"/>
      <c r="AA78" s="112"/>
      <c r="AB78" s="5"/>
      <c r="AC78" s="5"/>
    </row>
    <row r="79" ht="18.0" customHeight="1">
      <c r="A79" s="109"/>
      <c r="B79" s="110"/>
      <c r="C79" s="111"/>
      <c r="D79" s="112"/>
      <c r="E79" s="113"/>
      <c r="F79" s="114"/>
      <c r="G79" s="114"/>
      <c r="H79" s="113"/>
      <c r="I79" s="114"/>
      <c r="J79" s="114"/>
      <c r="K79" s="114"/>
      <c r="L79" s="110"/>
      <c r="M79" s="110"/>
      <c r="N79" s="110"/>
      <c r="O79" s="110"/>
      <c r="P79" s="110"/>
      <c r="Q79" s="110"/>
      <c r="R79" s="110"/>
      <c r="S79" s="110"/>
      <c r="T79" s="112"/>
      <c r="U79" s="5"/>
      <c r="V79" s="5"/>
      <c r="W79" s="5"/>
      <c r="X79" s="5"/>
      <c r="Y79" s="5"/>
      <c r="Z79" s="5"/>
      <c r="AA79" s="112"/>
      <c r="AB79" s="5"/>
      <c r="AC79" s="5"/>
    </row>
    <row r="80" ht="18.0" customHeight="1">
      <c r="A80" s="109"/>
      <c r="B80" s="110"/>
      <c r="C80" s="111"/>
      <c r="D80" s="112"/>
      <c r="E80" s="113"/>
      <c r="F80" s="114"/>
      <c r="G80" s="114"/>
      <c r="H80" s="113"/>
      <c r="I80" s="114"/>
      <c r="J80" s="114"/>
      <c r="K80" s="114"/>
      <c r="L80" s="110"/>
      <c r="M80" s="110"/>
      <c r="N80" s="110"/>
      <c r="O80" s="110"/>
      <c r="P80" s="110"/>
      <c r="Q80" s="110"/>
      <c r="R80" s="110"/>
      <c r="S80" s="110"/>
      <c r="T80" s="112"/>
      <c r="U80" s="5"/>
      <c r="V80" s="5"/>
      <c r="W80" s="5"/>
      <c r="X80" s="5"/>
      <c r="Y80" s="5"/>
      <c r="Z80" s="5"/>
      <c r="AA80" s="112"/>
      <c r="AB80" s="5"/>
      <c r="AC80" s="5"/>
    </row>
    <row r="81" ht="18.0" customHeight="1">
      <c r="A81" s="109"/>
      <c r="B81" s="110"/>
      <c r="C81" s="111"/>
      <c r="D81" s="112"/>
      <c r="E81" s="113"/>
      <c r="F81" s="114"/>
      <c r="G81" s="114"/>
      <c r="H81" s="113"/>
      <c r="I81" s="114"/>
      <c r="J81" s="114"/>
      <c r="K81" s="114"/>
      <c r="L81" s="110"/>
      <c r="M81" s="110"/>
      <c r="N81" s="110"/>
      <c r="O81" s="110"/>
      <c r="P81" s="110"/>
      <c r="Q81" s="110"/>
      <c r="R81" s="110"/>
      <c r="S81" s="110"/>
      <c r="T81" s="112"/>
      <c r="U81" s="5"/>
      <c r="V81" s="5"/>
      <c r="W81" s="5"/>
      <c r="X81" s="5"/>
      <c r="Y81" s="5"/>
      <c r="Z81" s="5"/>
      <c r="AA81" s="112"/>
      <c r="AB81" s="5"/>
      <c r="AC81" s="5"/>
    </row>
    <row r="82" ht="18.0" customHeight="1">
      <c r="A82" s="109"/>
      <c r="B82" s="110"/>
      <c r="C82" s="111"/>
      <c r="D82" s="112"/>
      <c r="E82" s="113"/>
      <c r="F82" s="114"/>
      <c r="G82" s="114"/>
      <c r="H82" s="113"/>
      <c r="I82" s="114"/>
      <c r="J82" s="114"/>
      <c r="K82" s="114"/>
      <c r="L82" s="110"/>
      <c r="M82" s="110"/>
      <c r="N82" s="110"/>
      <c r="O82" s="110"/>
      <c r="P82" s="110"/>
      <c r="Q82" s="110"/>
      <c r="R82" s="110"/>
      <c r="S82" s="110"/>
      <c r="T82" s="112"/>
      <c r="U82" s="5"/>
      <c r="V82" s="5"/>
      <c r="W82" s="5"/>
      <c r="X82" s="5"/>
      <c r="Y82" s="5"/>
      <c r="Z82" s="5"/>
      <c r="AA82" s="112"/>
      <c r="AB82" s="5"/>
      <c r="AC82" s="5"/>
    </row>
    <row r="83" ht="18.0" customHeight="1">
      <c r="A83" s="109"/>
      <c r="B83" s="110"/>
      <c r="C83" s="111"/>
      <c r="D83" s="112"/>
      <c r="E83" s="113"/>
      <c r="F83" s="114"/>
      <c r="G83" s="114"/>
      <c r="H83" s="113"/>
      <c r="I83" s="114"/>
      <c r="J83" s="114"/>
      <c r="K83" s="114"/>
      <c r="L83" s="110"/>
      <c r="M83" s="110"/>
      <c r="N83" s="110"/>
      <c r="O83" s="110"/>
      <c r="P83" s="110"/>
      <c r="Q83" s="110"/>
      <c r="R83" s="110"/>
      <c r="S83" s="110"/>
      <c r="T83" s="112"/>
      <c r="U83" s="5"/>
      <c r="V83" s="5"/>
      <c r="W83" s="5"/>
      <c r="X83" s="5"/>
      <c r="Y83" s="5"/>
      <c r="Z83" s="5"/>
      <c r="AA83" s="112"/>
      <c r="AB83" s="5"/>
      <c r="AC83" s="5"/>
    </row>
    <row r="84" ht="18.0" customHeight="1">
      <c r="A84" s="109"/>
      <c r="B84" s="110"/>
      <c r="C84" s="111"/>
      <c r="D84" s="112"/>
      <c r="E84" s="113"/>
      <c r="F84" s="114"/>
      <c r="G84" s="114"/>
      <c r="H84" s="113"/>
      <c r="I84" s="114"/>
      <c r="J84" s="114"/>
      <c r="K84" s="114"/>
      <c r="L84" s="110"/>
      <c r="M84" s="110"/>
      <c r="N84" s="110"/>
      <c r="O84" s="110"/>
      <c r="P84" s="110"/>
      <c r="Q84" s="110"/>
      <c r="R84" s="110"/>
      <c r="S84" s="110"/>
      <c r="T84" s="112"/>
      <c r="U84" s="5"/>
      <c r="V84" s="5"/>
      <c r="W84" s="5"/>
      <c r="X84" s="5"/>
      <c r="Y84" s="5"/>
      <c r="Z84" s="5"/>
      <c r="AA84" s="112"/>
      <c r="AB84" s="5"/>
      <c r="AC84" s="5"/>
    </row>
    <row r="85" ht="18.0" customHeight="1">
      <c r="A85" s="109"/>
      <c r="B85" s="110"/>
      <c r="C85" s="111"/>
      <c r="D85" s="112"/>
      <c r="E85" s="113"/>
      <c r="F85" s="114"/>
      <c r="G85" s="114"/>
      <c r="H85" s="113"/>
      <c r="I85" s="114"/>
      <c r="J85" s="114"/>
      <c r="K85" s="114"/>
      <c r="L85" s="110"/>
      <c r="M85" s="110"/>
      <c r="N85" s="110"/>
      <c r="O85" s="110"/>
      <c r="P85" s="110"/>
      <c r="Q85" s="110"/>
      <c r="R85" s="110"/>
      <c r="S85" s="110"/>
      <c r="T85" s="112"/>
      <c r="U85" s="5"/>
      <c r="V85" s="5"/>
      <c r="W85" s="5"/>
      <c r="X85" s="5"/>
      <c r="Y85" s="5"/>
      <c r="Z85" s="5"/>
      <c r="AA85" s="112"/>
      <c r="AB85" s="5"/>
      <c r="AC85" s="5"/>
    </row>
    <row r="86" ht="18.0" customHeight="1">
      <c r="A86" s="109"/>
      <c r="B86" s="110"/>
      <c r="C86" s="111"/>
      <c r="D86" s="112"/>
      <c r="E86" s="113"/>
      <c r="F86" s="114"/>
      <c r="G86" s="114"/>
      <c r="H86" s="113"/>
      <c r="I86" s="114"/>
      <c r="J86" s="114"/>
      <c r="K86" s="114"/>
      <c r="L86" s="110"/>
      <c r="M86" s="110"/>
      <c r="N86" s="110"/>
      <c r="O86" s="110"/>
      <c r="P86" s="110"/>
      <c r="Q86" s="110"/>
      <c r="R86" s="110"/>
      <c r="S86" s="110"/>
      <c r="T86" s="112"/>
      <c r="U86" s="5"/>
      <c r="V86" s="5"/>
      <c r="W86" s="5"/>
      <c r="X86" s="5"/>
      <c r="Y86" s="5"/>
      <c r="Z86" s="5"/>
      <c r="AA86" s="112"/>
      <c r="AB86" s="5"/>
      <c r="AC86" s="5"/>
    </row>
    <row r="87" ht="18.0" customHeight="1">
      <c r="A87" s="109"/>
      <c r="B87" s="110"/>
      <c r="C87" s="111"/>
      <c r="D87" s="112"/>
      <c r="E87" s="113"/>
      <c r="F87" s="114"/>
      <c r="G87" s="114"/>
      <c r="H87" s="113"/>
      <c r="I87" s="114"/>
      <c r="J87" s="114"/>
      <c r="K87" s="114"/>
      <c r="L87" s="110"/>
      <c r="M87" s="110"/>
      <c r="N87" s="110"/>
      <c r="O87" s="110"/>
      <c r="P87" s="110"/>
      <c r="Q87" s="110"/>
      <c r="R87" s="110"/>
      <c r="S87" s="110"/>
      <c r="T87" s="112"/>
      <c r="U87" s="5"/>
      <c r="V87" s="5"/>
      <c r="W87" s="5"/>
      <c r="X87" s="5"/>
      <c r="Y87" s="5"/>
      <c r="Z87" s="5"/>
      <c r="AA87" s="112"/>
      <c r="AB87" s="5"/>
      <c r="AC87" s="5"/>
    </row>
    <row r="88" ht="18.0" customHeight="1">
      <c r="A88" s="109"/>
      <c r="B88" s="110"/>
      <c r="C88" s="111"/>
      <c r="D88" s="112"/>
      <c r="E88" s="113"/>
      <c r="F88" s="114"/>
      <c r="G88" s="114"/>
      <c r="H88" s="113"/>
      <c r="I88" s="114"/>
      <c r="J88" s="114"/>
      <c r="K88" s="114"/>
      <c r="L88" s="110"/>
      <c r="M88" s="110"/>
      <c r="N88" s="110"/>
      <c r="O88" s="110"/>
      <c r="P88" s="110"/>
      <c r="Q88" s="110"/>
      <c r="R88" s="110"/>
      <c r="S88" s="110"/>
      <c r="T88" s="112"/>
      <c r="U88" s="5"/>
      <c r="V88" s="5"/>
      <c r="W88" s="5"/>
      <c r="X88" s="5"/>
      <c r="Y88" s="5"/>
      <c r="Z88" s="5"/>
      <c r="AA88" s="112"/>
      <c r="AB88" s="5"/>
      <c r="AC88" s="5"/>
    </row>
    <row r="89" ht="18.0" customHeight="1">
      <c r="A89" s="109"/>
      <c r="B89" s="110"/>
      <c r="C89" s="111"/>
      <c r="D89" s="112"/>
      <c r="E89" s="113"/>
      <c r="F89" s="114"/>
      <c r="G89" s="114"/>
      <c r="H89" s="113"/>
      <c r="I89" s="114"/>
      <c r="J89" s="114"/>
      <c r="K89" s="114"/>
      <c r="L89" s="110"/>
      <c r="M89" s="110"/>
      <c r="N89" s="110"/>
      <c r="O89" s="110"/>
      <c r="P89" s="110"/>
      <c r="Q89" s="110"/>
      <c r="R89" s="110"/>
      <c r="S89" s="110"/>
      <c r="T89" s="112"/>
      <c r="U89" s="5"/>
      <c r="V89" s="5"/>
      <c r="W89" s="5"/>
      <c r="X89" s="5"/>
      <c r="Y89" s="5"/>
      <c r="Z89" s="5"/>
      <c r="AA89" s="112"/>
      <c r="AB89" s="5"/>
      <c r="AC89" s="5"/>
    </row>
    <row r="90" ht="18.0" customHeight="1">
      <c r="A90" s="109"/>
      <c r="B90" s="110"/>
      <c r="C90" s="111"/>
      <c r="D90" s="112"/>
      <c r="E90" s="113"/>
      <c r="F90" s="114"/>
      <c r="G90" s="114"/>
      <c r="H90" s="113"/>
      <c r="I90" s="114"/>
      <c r="J90" s="114"/>
      <c r="K90" s="114"/>
      <c r="L90" s="110"/>
      <c r="M90" s="110"/>
      <c r="N90" s="110"/>
      <c r="O90" s="110"/>
      <c r="P90" s="110"/>
      <c r="Q90" s="110"/>
      <c r="R90" s="110"/>
      <c r="S90" s="110"/>
      <c r="T90" s="112"/>
      <c r="U90" s="5"/>
      <c r="V90" s="5"/>
      <c r="W90" s="5"/>
      <c r="X90" s="5"/>
      <c r="Y90" s="5"/>
      <c r="Z90" s="5"/>
      <c r="AA90" s="112"/>
      <c r="AB90" s="5"/>
      <c r="AC90" s="5"/>
    </row>
    <row r="91" ht="18.0" customHeight="1">
      <c r="A91" s="109"/>
      <c r="B91" s="110"/>
      <c r="C91" s="111"/>
      <c r="D91" s="112"/>
      <c r="E91" s="113"/>
      <c r="F91" s="114"/>
      <c r="G91" s="114"/>
      <c r="H91" s="113"/>
      <c r="I91" s="114"/>
      <c r="J91" s="114"/>
      <c r="K91" s="114"/>
      <c r="L91" s="110"/>
      <c r="M91" s="110"/>
      <c r="N91" s="110"/>
      <c r="O91" s="110"/>
      <c r="P91" s="110"/>
      <c r="Q91" s="110"/>
      <c r="R91" s="110"/>
      <c r="S91" s="110"/>
      <c r="T91" s="112"/>
      <c r="U91" s="5"/>
      <c r="V91" s="5"/>
      <c r="W91" s="5"/>
      <c r="X91" s="5"/>
      <c r="Y91" s="5"/>
      <c r="Z91" s="5"/>
      <c r="AA91" s="112"/>
      <c r="AB91" s="5"/>
      <c r="AC91" s="5"/>
    </row>
    <row r="92" ht="18.0" customHeight="1">
      <c r="A92" s="109"/>
      <c r="B92" s="110"/>
      <c r="C92" s="111"/>
      <c r="D92" s="112"/>
      <c r="E92" s="113"/>
      <c r="F92" s="114"/>
      <c r="G92" s="114"/>
      <c r="H92" s="113"/>
      <c r="I92" s="114"/>
      <c r="J92" s="114"/>
      <c r="K92" s="114"/>
      <c r="L92" s="110"/>
      <c r="M92" s="110"/>
      <c r="N92" s="110"/>
      <c r="O92" s="110"/>
      <c r="P92" s="110"/>
      <c r="Q92" s="110"/>
      <c r="R92" s="110"/>
      <c r="S92" s="110"/>
      <c r="T92" s="112"/>
      <c r="U92" s="5"/>
      <c r="V92" s="5"/>
      <c r="W92" s="5"/>
      <c r="X92" s="5"/>
      <c r="Y92" s="5"/>
      <c r="Z92" s="5"/>
      <c r="AA92" s="112"/>
      <c r="AB92" s="5"/>
      <c r="AC92" s="5"/>
    </row>
    <row r="93" ht="18.0" customHeight="1">
      <c r="A93" s="109"/>
      <c r="B93" s="110"/>
      <c r="C93" s="111"/>
      <c r="D93" s="112"/>
      <c r="E93" s="113"/>
      <c r="F93" s="114"/>
      <c r="G93" s="114"/>
      <c r="H93" s="113"/>
      <c r="I93" s="114"/>
      <c r="J93" s="114"/>
      <c r="K93" s="114"/>
      <c r="L93" s="110"/>
      <c r="M93" s="110"/>
      <c r="N93" s="110"/>
      <c r="O93" s="110"/>
      <c r="P93" s="110"/>
      <c r="Q93" s="110"/>
      <c r="R93" s="110"/>
      <c r="S93" s="110"/>
      <c r="T93" s="112"/>
      <c r="U93" s="5"/>
      <c r="V93" s="5"/>
      <c r="W93" s="5"/>
      <c r="X93" s="5"/>
      <c r="Y93" s="5"/>
      <c r="Z93" s="5"/>
      <c r="AA93" s="112"/>
      <c r="AB93" s="5"/>
      <c r="AC93" s="5"/>
    </row>
    <row r="94" ht="18.0" customHeight="1">
      <c r="A94" s="109"/>
      <c r="B94" s="110"/>
      <c r="C94" s="111"/>
      <c r="D94" s="112"/>
      <c r="E94" s="113"/>
      <c r="F94" s="114"/>
      <c r="G94" s="114"/>
      <c r="H94" s="113"/>
      <c r="I94" s="114"/>
      <c r="J94" s="114"/>
      <c r="K94" s="114"/>
      <c r="L94" s="110"/>
      <c r="M94" s="110"/>
      <c r="N94" s="110"/>
      <c r="O94" s="110"/>
      <c r="P94" s="110"/>
      <c r="Q94" s="110"/>
      <c r="R94" s="110"/>
      <c r="S94" s="110"/>
      <c r="T94" s="112"/>
      <c r="U94" s="5"/>
      <c r="V94" s="5"/>
      <c r="W94" s="5"/>
      <c r="X94" s="5"/>
      <c r="Y94" s="5"/>
      <c r="Z94" s="5"/>
      <c r="AA94" s="112"/>
      <c r="AB94" s="5"/>
      <c r="AC94" s="5"/>
    </row>
    <row r="95" ht="18.0" customHeight="1">
      <c r="A95" s="109"/>
      <c r="B95" s="110"/>
      <c r="C95" s="111"/>
      <c r="D95" s="112"/>
      <c r="E95" s="113"/>
      <c r="F95" s="114"/>
      <c r="G95" s="114"/>
      <c r="H95" s="113"/>
      <c r="I95" s="114"/>
      <c r="J95" s="114"/>
      <c r="K95" s="114"/>
      <c r="L95" s="110"/>
      <c r="M95" s="110"/>
      <c r="N95" s="110"/>
      <c r="O95" s="110"/>
      <c r="P95" s="110"/>
      <c r="Q95" s="110"/>
      <c r="R95" s="110"/>
      <c r="S95" s="110"/>
      <c r="T95" s="112"/>
      <c r="U95" s="5"/>
      <c r="V95" s="5"/>
      <c r="W95" s="5"/>
      <c r="X95" s="5"/>
      <c r="Y95" s="5"/>
      <c r="Z95" s="5"/>
      <c r="AA95" s="112"/>
      <c r="AB95" s="5"/>
      <c r="AC95" s="5"/>
    </row>
    <row r="96" ht="18.0" customHeight="1">
      <c r="A96" s="109"/>
      <c r="B96" s="110"/>
      <c r="C96" s="111"/>
      <c r="D96" s="112"/>
      <c r="E96" s="113"/>
      <c r="F96" s="114"/>
      <c r="G96" s="114"/>
      <c r="H96" s="113"/>
      <c r="I96" s="114"/>
      <c r="J96" s="114"/>
      <c r="K96" s="114"/>
      <c r="L96" s="110"/>
      <c r="M96" s="110"/>
      <c r="N96" s="110"/>
      <c r="O96" s="110"/>
      <c r="P96" s="110"/>
      <c r="Q96" s="110"/>
      <c r="R96" s="110"/>
      <c r="S96" s="110"/>
      <c r="T96" s="112"/>
      <c r="U96" s="5"/>
      <c r="V96" s="5"/>
      <c r="W96" s="5"/>
      <c r="X96" s="5"/>
      <c r="Y96" s="5"/>
      <c r="Z96" s="5"/>
      <c r="AA96" s="112"/>
      <c r="AB96" s="5"/>
      <c r="AC96" s="5"/>
    </row>
    <row r="97" ht="18.0" customHeight="1">
      <c r="A97" s="109"/>
      <c r="B97" s="110"/>
      <c r="C97" s="111"/>
      <c r="D97" s="112"/>
      <c r="E97" s="113"/>
      <c r="F97" s="114"/>
      <c r="G97" s="114"/>
      <c r="H97" s="113"/>
      <c r="I97" s="114"/>
      <c r="J97" s="114"/>
      <c r="K97" s="114"/>
      <c r="L97" s="110"/>
      <c r="M97" s="110"/>
      <c r="N97" s="110"/>
      <c r="O97" s="110"/>
      <c r="P97" s="110"/>
      <c r="Q97" s="110"/>
      <c r="R97" s="110"/>
      <c r="S97" s="110"/>
      <c r="T97" s="112"/>
      <c r="U97" s="5"/>
      <c r="V97" s="5"/>
      <c r="W97" s="5"/>
      <c r="X97" s="5"/>
      <c r="Y97" s="5"/>
      <c r="Z97" s="5"/>
      <c r="AA97" s="112"/>
      <c r="AB97" s="5"/>
      <c r="AC97" s="5"/>
    </row>
    <row r="98" ht="18.0" customHeight="1">
      <c r="A98" s="109"/>
      <c r="B98" s="110"/>
      <c r="C98" s="111"/>
      <c r="D98" s="112"/>
      <c r="E98" s="113"/>
      <c r="F98" s="114"/>
      <c r="G98" s="114"/>
      <c r="H98" s="113"/>
      <c r="I98" s="114"/>
      <c r="J98" s="114"/>
      <c r="K98" s="114"/>
      <c r="L98" s="110"/>
      <c r="M98" s="110"/>
      <c r="N98" s="110"/>
      <c r="O98" s="110"/>
      <c r="P98" s="110"/>
      <c r="Q98" s="110"/>
      <c r="R98" s="110"/>
      <c r="S98" s="110"/>
      <c r="T98" s="112"/>
      <c r="U98" s="5"/>
      <c r="V98" s="5"/>
      <c r="W98" s="5"/>
      <c r="X98" s="5"/>
      <c r="Y98" s="5"/>
      <c r="Z98" s="5"/>
      <c r="AA98" s="112"/>
      <c r="AB98" s="5"/>
      <c r="AC98" s="5"/>
    </row>
    <row r="99" ht="18.0" customHeight="1">
      <c r="A99" s="109"/>
      <c r="B99" s="110"/>
      <c r="C99" s="111"/>
      <c r="D99" s="112"/>
      <c r="E99" s="113"/>
      <c r="F99" s="114"/>
      <c r="G99" s="114"/>
      <c r="H99" s="113"/>
      <c r="I99" s="114"/>
      <c r="J99" s="114"/>
      <c r="K99" s="114"/>
      <c r="L99" s="110"/>
      <c r="M99" s="110"/>
      <c r="N99" s="110"/>
      <c r="O99" s="110"/>
      <c r="P99" s="110"/>
      <c r="Q99" s="110"/>
      <c r="R99" s="110"/>
      <c r="S99" s="110"/>
      <c r="T99" s="112"/>
      <c r="U99" s="5"/>
      <c r="V99" s="5"/>
      <c r="W99" s="5"/>
      <c r="X99" s="5"/>
      <c r="Y99" s="5"/>
      <c r="Z99" s="5"/>
      <c r="AA99" s="112"/>
      <c r="AB99" s="5"/>
      <c r="AC99" s="5"/>
    </row>
    <row r="100" ht="18.0" customHeight="1">
      <c r="A100" s="109"/>
      <c r="B100" s="110"/>
      <c r="C100" s="111"/>
      <c r="D100" s="112"/>
      <c r="E100" s="113"/>
      <c r="F100" s="114"/>
      <c r="G100" s="114"/>
      <c r="H100" s="113"/>
      <c r="I100" s="114"/>
      <c r="J100" s="114"/>
      <c r="K100" s="114"/>
      <c r="L100" s="110"/>
      <c r="M100" s="110"/>
      <c r="N100" s="110"/>
      <c r="O100" s="110"/>
      <c r="P100" s="110"/>
      <c r="Q100" s="110"/>
      <c r="R100" s="110"/>
      <c r="S100" s="110"/>
      <c r="T100" s="112"/>
      <c r="U100" s="5"/>
      <c r="V100" s="5"/>
      <c r="W100" s="5"/>
      <c r="X100" s="5"/>
      <c r="Y100" s="5"/>
      <c r="Z100" s="5"/>
      <c r="AA100" s="112"/>
      <c r="AB100" s="5"/>
      <c r="AC100" s="5"/>
    </row>
    <row r="101" ht="18.0" customHeight="1">
      <c r="A101" s="109"/>
      <c r="B101" s="110"/>
      <c r="C101" s="111"/>
      <c r="D101" s="112"/>
      <c r="E101" s="113"/>
      <c r="F101" s="114"/>
      <c r="G101" s="114"/>
      <c r="H101" s="113"/>
      <c r="I101" s="114"/>
      <c r="J101" s="114"/>
      <c r="K101" s="114"/>
      <c r="L101" s="110"/>
      <c r="M101" s="110"/>
      <c r="N101" s="110"/>
      <c r="O101" s="110"/>
      <c r="P101" s="110"/>
      <c r="Q101" s="110"/>
      <c r="R101" s="110"/>
      <c r="S101" s="110"/>
      <c r="T101" s="112"/>
      <c r="U101" s="5"/>
      <c r="V101" s="5"/>
      <c r="W101" s="5"/>
      <c r="X101" s="5"/>
      <c r="Y101" s="5"/>
      <c r="Z101" s="5"/>
      <c r="AA101" s="112"/>
      <c r="AB101" s="5"/>
      <c r="AC101" s="5"/>
    </row>
    <row r="102" ht="18.0" customHeight="1">
      <c r="A102" s="109"/>
      <c r="B102" s="110"/>
      <c r="C102" s="111"/>
      <c r="D102" s="112"/>
      <c r="E102" s="113"/>
      <c r="F102" s="114"/>
      <c r="G102" s="114"/>
      <c r="H102" s="113"/>
      <c r="I102" s="114"/>
      <c r="J102" s="114"/>
      <c r="K102" s="114"/>
      <c r="L102" s="110"/>
      <c r="M102" s="110"/>
      <c r="N102" s="110"/>
      <c r="O102" s="110"/>
      <c r="P102" s="110"/>
      <c r="Q102" s="110"/>
      <c r="R102" s="110"/>
      <c r="S102" s="110"/>
      <c r="T102" s="112"/>
      <c r="U102" s="5"/>
      <c r="V102" s="5"/>
      <c r="W102" s="5"/>
      <c r="X102" s="5"/>
      <c r="Y102" s="5"/>
      <c r="Z102" s="5"/>
      <c r="AA102" s="112"/>
      <c r="AB102" s="5"/>
      <c r="AC102" s="5"/>
    </row>
    <row r="103" ht="18.0" customHeight="1">
      <c r="A103" s="109"/>
      <c r="B103" s="110"/>
      <c r="C103" s="111"/>
      <c r="D103" s="112"/>
      <c r="E103" s="113"/>
      <c r="F103" s="114"/>
      <c r="G103" s="114"/>
      <c r="H103" s="113"/>
      <c r="I103" s="114"/>
      <c r="J103" s="114"/>
      <c r="K103" s="114"/>
      <c r="L103" s="110"/>
      <c r="M103" s="110"/>
      <c r="N103" s="110"/>
      <c r="O103" s="110"/>
      <c r="P103" s="110"/>
      <c r="Q103" s="110"/>
      <c r="R103" s="110"/>
      <c r="S103" s="110"/>
      <c r="T103" s="112"/>
      <c r="U103" s="5"/>
      <c r="V103" s="5"/>
      <c r="W103" s="5"/>
      <c r="X103" s="5"/>
      <c r="Y103" s="5"/>
      <c r="Z103" s="5"/>
      <c r="AA103" s="112"/>
      <c r="AB103" s="5"/>
      <c r="AC103" s="5"/>
    </row>
    <row r="104" ht="18.0" customHeight="1">
      <c r="A104" s="109"/>
      <c r="B104" s="110"/>
      <c r="C104" s="111"/>
      <c r="D104" s="112"/>
      <c r="E104" s="113"/>
      <c r="F104" s="114"/>
      <c r="G104" s="114"/>
      <c r="H104" s="113"/>
      <c r="I104" s="114"/>
      <c r="J104" s="114"/>
      <c r="K104" s="114"/>
      <c r="L104" s="110"/>
      <c r="M104" s="110"/>
      <c r="N104" s="110"/>
      <c r="O104" s="110"/>
      <c r="P104" s="110"/>
      <c r="Q104" s="110"/>
      <c r="R104" s="110"/>
      <c r="S104" s="110"/>
      <c r="T104" s="112"/>
      <c r="U104" s="5"/>
      <c r="V104" s="5"/>
      <c r="W104" s="5"/>
      <c r="X104" s="5"/>
      <c r="Y104" s="5"/>
      <c r="Z104" s="5"/>
      <c r="AA104" s="112"/>
      <c r="AB104" s="5"/>
      <c r="AC104" s="5"/>
    </row>
    <row r="105" ht="18.0" customHeight="1">
      <c r="A105" s="109"/>
      <c r="B105" s="110"/>
      <c r="C105" s="111"/>
      <c r="D105" s="112"/>
      <c r="E105" s="113"/>
      <c r="F105" s="114"/>
      <c r="G105" s="114"/>
      <c r="H105" s="113"/>
      <c r="I105" s="114"/>
      <c r="J105" s="114"/>
      <c r="K105" s="114"/>
      <c r="L105" s="110"/>
      <c r="M105" s="110"/>
      <c r="N105" s="110"/>
      <c r="O105" s="110"/>
      <c r="P105" s="110"/>
      <c r="Q105" s="110"/>
      <c r="R105" s="110"/>
      <c r="S105" s="110"/>
      <c r="T105" s="112"/>
      <c r="U105" s="5"/>
      <c r="V105" s="5"/>
      <c r="W105" s="5"/>
      <c r="X105" s="5"/>
      <c r="Y105" s="5"/>
      <c r="Z105" s="5"/>
      <c r="AA105" s="112"/>
      <c r="AB105" s="5"/>
      <c r="AC105" s="5"/>
    </row>
    <row r="106" ht="18.0" customHeight="1">
      <c r="A106" s="109"/>
      <c r="B106" s="110"/>
      <c r="C106" s="111"/>
      <c r="D106" s="112"/>
      <c r="E106" s="113"/>
      <c r="F106" s="114"/>
      <c r="G106" s="114"/>
      <c r="H106" s="113"/>
      <c r="I106" s="114"/>
      <c r="J106" s="114"/>
      <c r="K106" s="114"/>
      <c r="L106" s="110"/>
      <c r="M106" s="110"/>
      <c r="N106" s="110"/>
      <c r="O106" s="110"/>
      <c r="P106" s="110"/>
      <c r="Q106" s="110"/>
      <c r="R106" s="110"/>
      <c r="S106" s="110"/>
      <c r="T106" s="112"/>
      <c r="U106" s="5"/>
      <c r="V106" s="5"/>
      <c r="W106" s="5"/>
      <c r="X106" s="5"/>
      <c r="Y106" s="5"/>
      <c r="Z106" s="5"/>
      <c r="AA106" s="112"/>
      <c r="AB106" s="5"/>
      <c r="AC106" s="5"/>
    </row>
    <row r="107" ht="18.0" customHeight="1">
      <c r="A107" s="109"/>
      <c r="B107" s="110"/>
      <c r="C107" s="111"/>
      <c r="D107" s="112"/>
      <c r="E107" s="113"/>
      <c r="F107" s="114"/>
      <c r="G107" s="114"/>
      <c r="H107" s="113"/>
      <c r="I107" s="114"/>
      <c r="J107" s="114"/>
      <c r="K107" s="114"/>
      <c r="L107" s="110"/>
      <c r="M107" s="110"/>
      <c r="N107" s="110"/>
      <c r="O107" s="110"/>
      <c r="P107" s="110"/>
      <c r="Q107" s="110"/>
      <c r="R107" s="110"/>
      <c r="S107" s="110"/>
      <c r="T107" s="112"/>
      <c r="U107" s="5"/>
      <c r="V107" s="5"/>
      <c r="W107" s="5"/>
      <c r="X107" s="5"/>
      <c r="Y107" s="5"/>
      <c r="Z107" s="5"/>
      <c r="AA107" s="112"/>
      <c r="AB107" s="5"/>
      <c r="AC107" s="5"/>
    </row>
    <row r="108" ht="18.0" customHeight="1">
      <c r="A108" s="109"/>
      <c r="B108" s="110"/>
      <c r="C108" s="111"/>
      <c r="D108" s="112"/>
      <c r="E108" s="113"/>
      <c r="F108" s="114"/>
      <c r="G108" s="114"/>
      <c r="H108" s="113"/>
      <c r="I108" s="114"/>
      <c r="J108" s="114"/>
      <c r="K108" s="114"/>
      <c r="L108" s="110"/>
      <c r="M108" s="110"/>
      <c r="N108" s="110"/>
      <c r="O108" s="110"/>
      <c r="P108" s="110"/>
      <c r="Q108" s="110"/>
      <c r="R108" s="110"/>
      <c r="S108" s="110"/>
      <c r="T108" s="112"/>
      <c r="U108" s="5"/>
      <c r="V108" s="5"/>
      <c r="W108" s="5"/>
      <c r="X108" s="5"/>
      <c r="Y108" s="5"/>
      <c r="Z108" s="5"/>
      <c r="AA108" s="112"/>
      <c r="AB108" s="5"/>
      <c r="AC108" s="5"/>
    </row>
    <row r="109" ht="18.0" customHeight="1">
      <c r="A109" s="109"/>
      <c r="B109" s="110"/>
      <c r="C109" s="111"/>
      <c r="D109" s="112"/>
      <c r="E109" s="113"/>
      <c r="F109" s="114"/>
      <c r="G109" s="114"/>
      <c r="H109" s="113"/>
      <c r="I109" s="114"/>
      <c r="J109" s="114"/>
      <c r="K109" s="114"/>
      <c r="L109" s="110"/>
      <c r="M109" s="110"/>
      <c r="N109" s="110"/>
      <c r="O109" s="110"/>
      <c r="P109" s="110"/>
      <c r="Q109" s="110"/>
      <c r="R109" s="110"/>
      <c r="S109" s="110"/>
      <c r="T109" s="112"/>
      <c r="U109" s="5"/>
      <c r="V109" s="5"/>
      <c r="W109" s="5"/>
      <c r="X109" s="5"/>
      <c r="Y109" s="5"/>
      <c r="Z109" s="5"/>
      <c r="AA109" s="112"/>
      <c r="AB109" s="5"/>
      <c r="AC109" s="5"/>
    </row>
    <row r="110" ht="18.0" customHeight="1">
      <c r="A110" s="109"/>
      <c r="B110" s="110"/>
      <c r="C110" s="111"/>
      <c r="D110" s="112"/>
      <c r="E110" s="113"/>
      <c r="F110" s="114"/>
      <c r="G110" s="114"/>
      <c r="H110" s="113"/>
      <c r="I110" s="114"/>
      <c r="J110" s="114"/>
      <c r="K110" s="114"/>
      <c r="L110" s="110"/>
      <c r="M110" s="110"/>
      <c r="N110" s="110"/>
      <c r="O110" s="110"/>
      <c r="P110" s="110"/>
      <c r="Q110" s="110"/>
      <c r="R110" s="110"/>
      <c r="S110" s="110"/>
      <c r="T110" s="112"/>
      <c r="U110" s="5"/>
      <c r="V110" s="5"/>
      <c r="W110" s="5"/>
      <c r="X110" s="5"/>
      <c r="Y110" s="5"/>
      <c r="Z110" s="5"/>
      <c r="AA110" s="112"/>
      <c r="AB110" s="5"/>
      <c r="AC110" s="5"/>
    </row>
    <row r="111" ht="18.0" customHeight="1">
      <c r="A111" s="109"/>
      <c r="B111" s="110"/>
      <c r="C111" s="111"/>
      <c r="D111" s="112"/>
      <c r="E111" s="113"/>
      <c r="F111" s="114"/>
      <c r="G111" s="114"/>
      <c r="H111" s="113"/>
      <c r="I111" s="114"/>
      <c r="J111" s="114"/>
      <c r="K111" s="114"/>
      <c r="L111" s="110"/>
      <c r="M111" s="110"/>
      <c r="N111" s="110"/>
      <c r="O111" s="110"/>
      <c r="P111" s="110"/>
      <c r="Q111" s="110"/>
      <c r="R111" s="110"/>
      <c r="S111" s="110"/>
      <c r="T111" s="112"/>
      <c r="U111" s="5"/>
      <c r="V111" s="5"/>
      <c r="W111" s="5"/>
      <c r="X111" s="5"/>
      <c r="Y111" s="5"/>
      <c r="Z111" s="5"/>
      <c r="AA111" s="112"/>
      <c r="AB111" s="5"/>
      <c r="AC111" s="5"/>
    </row>
    <row r="112" ht="18.0" customHeight="1">
      <c r="A112" s="109"/>
      <c r="B112" s="110"/>
      <c r="C112" s="111"/>
      <c r="D112" s="112"/>
      <c r="E112" s="113"/>
      <c r="F112" s="114"/>
      <c r="G112" s="114"/>
      <c r="H112" s="113"/>
      <c r="I112" s="114"/>
      <c r="J112" s="114"/>
      <c r="K112" s="114"/>
      <c r="L112" s="110"/>
      <c r="M112" s="110"/>
      <c r="N112" s="110"/>
      <c r="O112" s="110"/>
      <c r="P112" s="110"/>
      <c r="Q112" s="110"/>
      <c r="R112" s="110"/>
      <c r="S112" s="110"/>
      <c r="T112" s="112"/>
      <c r="U112" s="5"/>
      <c r="V112" s="5"/>
      <c r="W112" s="5"/>
      <c r="X112" s="5"/>
      <c r="Y112" s="5"/>
      <c r="Z112" s="5"/>
      <c r="AA112" s="112"/>
      <c r="AB112" s="5"/>
      <c r="AC112" s="5"/>
    </row>
    <row r="113" ht="18.0" customHeight="1">
      <c r="A113" s="109"/>
      <c r="B113" s="110"/>
      <c r="C113" s="111"/>
      <c r="D113" s="112"/>
      <c r="E113" s="113"/>
      <c r="F113" s="114"/>
      <c r="G113" s="114"/>
      <c r="H113" s="113"/>
      <c r="I113" s="114"/>
      <c r="J113" s="114"/>
      <c r="K113" s="114"/>
      <c r="L113" s="110"/>
      <c r="M113" s="110"/>
      <c r="N113" s="110"/>
      <c r="O113" s="110"/>
      <c r="P113" s="110"/>
      <c r="Q113" s="110"/>
      <c r="R113" s="110"/>
      <c r="S113" s="110"/>
      <c r="T113" s="112"/>
      <c r="U113" s="5"/>
      <c r="V113" s="5"/>
      <c r="W113" s="5"/>
      <c r="X113" s="5"/>
      <c r="Y113" s="5"/>
      <c r="Z113" s="5"/>
      <c r="AA113" s="112"/>
      <c r="AB113" s="5"/>
      <c r="AC113" s="5"/>
    </row>
    <row r="114" ht="18.0" customHeight="1">
      <c r="A114" s="109"/>
      <c r="B114" s="110"/>
      <c r="C114" s="111"/>
      <c r="D114" s="112"/>
      <c r="E114" s="113"/>
      <c r="F114" s="114"/>
      <c r="G114" s="114"/>
      <c r="H114" s="113"/>
      <c r="I114" s="114"/>
      <c r="J114" s="114"/>
      <c r="K114" s="114"/>
      <c r="L114" s="110"/>
      <c r="M114" s="110"/>
      <c r="N114" s="110"/>
      <c r="O114" s="110"/>
      <c r="P114" s="110"/>
      <c r="Q114" s="110"/>
      <c r="R114" s="110"/>
      <c r="S114" s="110"/>
      <c r="T114" s="112"/>
      <c r="U114" s="5"/>
      <c r="V114" s="5"/>
      <c r="W114" s="5"/>
      <c r="X114" s="5"/>
      <c r="Y114" s="5"/>
      <c r="Z114" s="5"/>
      <c r="AA114" s="112"/>
      <c r="AB114" s="5"/>
      <c r="AC114" s="5"/>
    </row>
    <row r="115" ht="18.0" customHeight="1">
      <c r="A115" s="109"/>
      <c r="B115" s="110"/>
      <c r="C115" s="111"/>
      <c r="D115" s="112"/>
      <c r="E115" s="113"/>
      <c r="F115" s="114"/>
      <c r="G115" s="114"/>
      <c r="H115" s="113"/>
      <c r="I115" s="114"/>
      <c r="J115" s="114"/>
      <c r="K115" s="114"/>
      <c r="L115" s="110"/>
      <c r="M115" s="110"/>
      <c r="N115" s="110"/>
      <c r="O115" s="110"/>
      <c r="P115" s="110"/>
      <c r="Q115" s="110"/>
      <c r="R115" s="110"/>
      <c r="S115" s="110"/>
      <c r="T115" s="112"/>
      <c r="U115" s="5"/>
      <c r="V115" s="5"/>
      <c r="W115" s="5"/>
      <c r="X115" s="5"/>
      <c r="Y115" s="5"/>
      <c r="Z115" s="5"/>
      <c r="AA115" s="112"/>
      <c r="AB115" s="5"/>
      <c r="AC115" s="5"/>
    </row>
    <row r="116" ht="18.0" customHeight="1">
      <c r="A116" s="109"/>
      <c r="B116" s="110"/>
      <c r="C116" s="111"/>
      <c r="D116" s="112"/>
      <c r="E116" s="113"/>
      <c r="F116" s="114"/>
      <c r="G116" s="114"/>
      <c r="H116" s="113"/>
      <c r="I116" s="114"/>
      <c r="J116" s="114"/>
      <c r="K116" s="114"/>
      <c r="L116" s="110"/>
      <c r="M116" s="110"/>
      <c r="N116" s="110"/>
      <c r="O116" s="110"/>
      <c r="P116" s="110"/>
      <c r="Q116" s="110"/>
      <c r="R116" s="110"/>
      <c r="S116" s="110"/>
      <c r="T116" s="112"/>
      <c r="U116" s="5"/>
      <c r="V116" s="5"/>
      <c r="W116" s="5"/>
      <c r="X116" s="5"/>
      <c r="Y116" s="5"/>
      <c r="Z116" s="5"/>
      <c r="AA116" s="112"/>
      <c r="AB116" s="5"/>
      <c r="AC116" s="5"/>
    </row>
    <row r="117" ht="18.0" customHeight="1">
      <c r="A117" s="109"/>
      <c r="B117" s="110"/>
      <c r="C117" s="111"/>
      <c r="D117" s="112"/>
      <c r="E117" s="113"/>
      <c r="F117" s="114"/>
      <c r="G117" s="114"/>
      <c r="H117" s="113"/>
      <c r="I117" s="114"/>
      <c r="J117" s="114"/>
      <c r="K117" s="114"/>
      <c r="L117" s="110"/>
      <c r="M117" s="110"/>
      <c r="N117" s="110"/>
      <c r="O117" s="110"/>
      <c r="P117" s="110"/>
      <c r="Q117" s="110"/>
      <c r="R117" s="110"/>
      <c r="S117" s="110"/>
      <c r="T117" s="112"/>
      <c r="U117" s="5"/>
      <c r="V117" s="5"/>
      <c r="W117" s="5"/>
      <c r="X117" s="5"/>
      <c r="Y117" s="5"/>
      <c r="Z117" s="5"/>
      <c r="AA117" s="112"/>
      <c r="AB117" s="5"/>
      <c r="AC117" s="5"/>
    </row>
    <row r="118" ht="18.0" customHeight="1">
      <c r="A118" s="109"/>
      <c r="B118" s="110"/>
      <c r="C118" s="111"/>
      <c r="D118" s="112"/>
      <c r="E118" s="113"/>
      <c r="F118" s="114"/>
      <c r="G118" s="114"/>
      <c r="H118" s="113"/>
      <c r="I118" s="114"/>
      <c r="J118" s="114"/>
      <c r="K118" s="114"/>
      <c r="L118" s="110"/>
      <c r="M118" s="110"/>
      <c r="N118" s="110"/>
      <c r="O118" s="110"/>
      <c r="P118" s="110"/>
      <c r="Q118" s="110"/>
      <c r="R118" s="110"/>
      <c r="S118" s="110"/>
      <c r="T118" s="112"/>
      <c r="U118" s="5"/>
      <c r="V118" s="5"/>
      <c r="W118" s="5"/>
      <c r="X118" s="5"/>
      <c r="Y118" s="5"/>
      <c r="Z118" s="5"/>
      <c r="AA118" s="112"/>
      <c r="AB118" s="5"/>
      <c r="AC118" s="5"/>
    </row>
    <row r="119" ht="18.0" customHeight="1">
      <c r="A119" s="109"/>
      <c r="B119" s="110"/>
      <c r="C119" s="111"/>
      <c r="D119" s="112"/>
      <c r="E119" s="113"/>
      <c r="F119" s="114"/>
      <c r="G119" s="114"/>
      <c r="H119" s="113"/>
      <c r="I119" s="114"/>
      <c r="J119" s="114"/>
      <c r="K119" s="114"/>
      <c r="L119" s="110"/>
      <c r="M119" s="110"/>
      <c r="N119" s="110"/>
      <c r="O119" s="110"/>
      <c r="P119" s="110"/>
      <c r="Q119" s="110"/>
      <c r="R119" s="110"/>
      <c r="S119" s="110"/>
      <c r="T119" s="112"/>
      <c r="U119" s="5"/>
      <c r="V119" s="5"/>
      <c r="W119" s="5"/>
      <c r="X119" s="5"/>
      <c r="Y119" s="5"/>
      <c r="Z119" s="5"/>
      <c r="AA119" s="112"/>
      <c r="AB119" s="5"/>
      <c r="AC119" s="5"/>
    </row>
    <row r="120" ht="18.0" customHeight="1">
      <c r="A120" s="109"/>
      <c r="B120" s="110"/>
      <c r="C120" s="111"/>
      <c r="D120" s="112"/>
      <c r="E120" s="113"/>
      <c r="F120" s="114"/>
      <c r="G120" s="114"/>
      <c r="H120" s="113"/>
      <c r="I120" s="114"/>
      <c r="J120" s="114"/>
      <c r="K120" s="114"/>
      <c r="L120" s="110"/>
      <c r="M120" s="110"/>
      <c r="N120" s="110"/>
      <c r="O120" s="110"/>
      <c r="P120" s="110"/>
      <c r="Q120" s="110"/>
      <c r="R120" s="110"/>
      <c r="S120" s="110"/>
      <c r="T120" s="112"/>
      <c r="U120" s="5"/>
      <c r="V120" s="5"/>
      <c r="W120" s="5"/>
      <c r="X120" s="5"/>
      <c r="Y120" s="5"/>
      <c r="Z120" s="5"/>
      <c r="AA120" s="112"/>
      <c r="AB120" s="5"/>
      <c r="AC120" s="5"/>
    </row>
    <row r="121" ht="18.0" customHeight="1">
      <c r="A121" s="109"/>
      <c r="B121" s="110"/>
      <c r="C121" s="111"/>
      <c r="D121" s="112"/>
      <c r="E121" s="113"/>
      <c r="F121" s="114"/>
      <c r="G121" s="114"/>
      <c r="H121" s="113"/>
      <c r="I121" s="114"/>
      <c r="J121" s="114"/>
      <c r="K121" s="114"/>
      <c r="L121" s="110"/>
      <c r="M121" s="110"/>
      <c r="N121" s="110"/>
      <c r="O121" s="110"/>
      <c r="P121" s="110"/>
      <c r="Q121" s="110"/>
      <c r="R121" s="110"/>
      <c r="S121" s="110"/>
      <c r="T121" s="112"/>
      <c r="U121" s="5"/>
      <c r="V121" s="5"/>
      <c r="W121" s="5"/>
      <c r="X121" s="5"/>
      <c r="Y121" s="5"/>
      <c r="Z121" s="5"/>
      <c r="AA121" s="112"/>
      <c r="AB121" s="5"/>
      <c r="AC121" s="5"/>
    </row>
    <row r="122" ht="18.0" customHeight="1">
      <c r="A122" s="109"/>
      <c r="B122" s="110"/>
      <c r="C122" s="111"/>
      <c r="D122" s="112"/>
      <c r="E122" s="113"/>
      <c r="F122" s="114"/>
      <c r="G122" s="114"/>
      <c r="H122" s="113"/>
      <c r="I122" s="114"/>
      <c r="J122" s="114"/>
      <c r="K122" s="114"/>
      <c r="L122" s="110"/>
      <c r="M122" s="110"/>
      <c r="N122" s="110"/>
      <c r="O122" s="110"/>
      <c r="P122" s="110"/>
      <c r="Q122" s="110"/>
      <c r="R122" s="110"/>
      <c r="S122" s="110"/>
      <c r="T122" s="112"/>
      <c r="U122" s="5"/>
      <c r="V122" s="5"/>
      <c r="W122" s="5"/>
      <c r="X122" s="5"/>
      <c r="Y122" s="5"/>
      <c r="Z122" s="5"/>
      <c r="AA122" s="112"/>
      <c r="AB122" s="5"/>
      <c r="AC122" s="5"/>
    </row>
    <row r="123" ht="18.0" customHeight="1">
      <c r="A123" s="109"/>
      <c r="B123" s="110"/>
      <c r="C123" s="111"/>
      <c r="D123" s="112"/>
      <c r="E123" s="113"/>
      <c r="F123" s="114"/>
      <c r="G123" s="114"/>
      <c r="H123" s="113"/>
      <c r="I123" s="114"/>
      <c r="J123" s="114"/>
      <c r="K123" s="114"/>
      <c r="L123" s="110"/>
      <c r="M123" s="110"/>
      <c r="N123" s="110"/>
      <c r="O123" s="110"/>
      <c r="P123" s="110"/>
      <c r="Q123" s="110"/>
      <c r="R123" s="110"/>
      <c r="S123" s="110"/>
      <c r="T123" s="112"/>
      <c r="U123" s="5"/>
      <c r="V123" s="5"/>
      <c r="W123" s="5"/>
      <c r="X123" s="5"/>
      <c r="Y123" s="5"/>
      <c r="Z123" s="5"/>
      <c r="AA123" s="112"/>
      <c r="AB123" s="5"/>
      <c r="AC123" s="5"/>
    </row>
    <row r="124" ht="18.0" customHeight="1">
      <c r="A124" s="109"/>
      <c r="B124" s="110"/>
      <c r="C124" s="111"/>
      <c r="D124" s="112"/>
      <c r="E124" s="113"/>
      <c r="F124" s="114"/>
      <c r="G124" s="114"/>
      <c r="H124" s="113"/>
      <c r="I124" s="114"/>
      <c r="J124" s="114"/>
      <c r="K124" s="114"/>
      <c r="L124" s="110"/>
      <c r="M124" s="110"/>
      <c r="N124" s="110"/>
      <c r="O124" s="110"/>
      <c r="P124" s="110"/>
      <c r="Q124" s="110"/>
      <c r="R124" s="110"/>
      <c r="S124" s="110"/>
      <c r="T124" s="112"/>
      <c r="U124" s="5"/>
      <c r="V124" s="5"/>
      <c r="W124" s="5"/>
      <c r="X124" s="5"/>
      <c r="Y124" s="5"/>
      <c r="Z124" s="5"/>
      <c r="AA124" s="112"/>
      <c r="AB124" s="5"/>
      <c r="AC124" s="5"/>
    </row>
    <row r="125" ht="18.0" customHeight="1">
      <c r="A125" s="109"/>
      <c r="B125" s="110"/>
      <c r="C125" s="111"/>
      <c r="D125" s="112"/>
      <c r="E125" s="113"/>
      <c r="F125" s="114"/>
      <c r="G125" s="114"/>
      <c r="H125" s="113"/>
      <c r="I125" s="114"/>
      <c r="J125" s="114"/>
      <c r="K125" s="114"/>
      <c r="L125" s="110"/>
      <c r="M125" s="110"/>
      <c r="N125" s="110"/>
      <c r="O125" s="110"/>
      <c r="P125" s="110"/>
      <c r="Q125" s="110"/>
      <c r="R125" s="110"/>
      <c r="S125" s="110"/>
      <c r="T125" s="112"/>
      <c r="U125" s="5"/>
      <c r="V125" s="5"/>
      <c r="W125" s="5"/>
      <c r="X125" s="5"/>
      <c r="Y125" s="5"/>
      <c r="Z125" s="5"/>
      <c r="AA125" s="112"/>
      <c r="AB125" s="5"/>
      <c r="AC125" s="5"/>
    </row>
    <row r="126" ht="18.0" customHeight="1">
      <c r="A126" s="109"/>
      <c r="B126" s="110"/>
      <c r="C126" s="111"/>
      <c r="D126" s="112"/>
      <c r="E126" s="113"/>
      <c r="F126" s="114"/>
      <c r="G126" s="114"/>
      <c r="H126" s="113"/>
      <c r="I126" s="114"/>
      <c r="J126" s="114"/>
      <c r="K126" s="114"/>
      <c r="L126" s="110"/>
      <c r="M126" s="110"/>
      <c r="N126" s="110"/>
      <c r="O126" s="110"/>
      <c r="P126" s="110"/>
      <c r="Q126" s="110"/>
      <c r="R126" s="110"/>
      <c r="S126" s="110"/>
      <c r="T126" s="112"/>
      <c r="U126" s="5"/>
      <c r="V126" s="5"/>
      <c r="W126" s="5"/>
      <c r="X126" s="5"/>
      <c r="Y126" s="5"/>
      <c r="Z126" s="5"/>
      <c r="AA126" s="112"/>
      <c r="AB126" s="5"/>
      <c r="AC126" s="5"/>
    </row>
    <row r="127" ht="18.0" customHeight="1">
      <c r="A127" s="109"/>
      <c r="B127" s="110"/>
      <c r="C127" s="111"/>
      <c r="D127" s="112"/>
      <c r="E127" s="113"/>
      <c r="F127" s="114"/>
      <c r="G127" s="114"/>
      <c r="H127" s="113"/>
      <c r="I127" s="114"/>
      <c r="J127" s="114"/>
      <c r="K127" s="114"/>
      <c r="L127" s="110"/>
      <c r="M127" s="110"/>
      <c r="N127" s="110"/>
      <c r="O127" s="110"/>
      <c r="P127" s="110"/>
      <c r="Q127" s="110"/>
      <c r="R127" s="110"/>
      <c r="S127" s="110"/>
      <c r="T127" s="112"/>
      <c r="U127" s="5"/>
      <c r="V127" s="5"/>
      <c r="W127" s="5"/>
      <c r="X127" s="5"/>
      <c r="Y127" s="5"/>
      <c r="Z127" s="5"/>
      <c r="AA127" s="112"/>
      <c r="AB127" s="5"/>
      <c r="AC127" s="5"/>
    </row>
    <row r="128" ht="18.0" customHeight="1">
      <c r="A128" s="109"/>
      <c r="B128" s="110"/>
      <c r="C128" s="111"/>
      <c r="D128" s="112"/>
      <c r="E128" s="113"/>
      <c r="F128" s="114"/>
      <c r="G128" s="114"/>
      <c r="H128" s="113"/>
      <c r="I128" s="114"/>
      <c r="J128" s="114"/>
      <c r="K128" s="114"/>
      <c r="L128" s="110"/>
      <c r="M128" s="110"/>
      <c r="N128" s="110"/>
      <c r="O128" s="110"/>
      <c r="P128" s="110"/>
      <c r="Q128" s="110"/>
      <c r="R128" s="110"/>
      <c r="S128" s="110"/>
      <c r="T128" s="112"/>
      <c r="U128" s="5"/>
      <c r="V128" s="5"/>
      <c r="W128" s="5"/>
      <c r="X128" s="5"/>
      <c r="Y128" s="5"/>
      <c r="Z128" s="5"/>
      <c r="AA128" s="112"/>
      <c r="AB128" s="5"/>
      <c r="AC128" s="5"/>
    </row>
    <row r="129" ht="18.0" customHeight="1">
      <c r="A129" s="109"/>
      <c r="B129" s="110"/>
      <c r="C129" s="111"/>
      <c r="D129" s="112"/>
      <c r="E129" s="113"/>
      <c r="F129" s="114"/>
      <c r="G129" s="114"/>
      <c r="H129" s="113"/>
      <c r="I129" s="114"/>
      <c r="J129" s="114"/>
      <c r="K129" s="114"/>
      <c r="L129" s="110"/>
      <c r="M129" s="110"/>
      <c r="N129" s="110"/>
      <c r="O129" s="110"/>
      <c r="P129" s="110"/>
      <c r="Q129" s="110"/>
      <c r="R129" s="110"/>
      <c r="S129" s="110"/>
      <c r="T129" s="112"/>
      <c r="U129" s="5"/>
      <c r="V129" s="5"/>
      <c r="W129" s="5"/>
      <c r="X129" s="5"/>
      <c r="Y129" s="5"/>
      <c r="Z129" s="5"/>
      <c r="AA129" s="112"/>
      <c r="AB129" s="5"/>
      <c r="AC129" s="5"/>
    </row>
    <row r="130" ht="18.0" customHeight="1">
      <c r="A130" s="109"/>
      <c r="B130" s="110"/>
      <c r="C130" s="111"/>
      <c r="D130" s="112"/>
      <c r="E130" s="113"/>
      <c r="F130" s="114"/>
      <c r="G130" s="114"/>
      <c r="H130" s="113"/>
      <c r="I130" s="114"/>
      <c r="J130" s="114"/>
      <c r="K130" s="114"/>
      <c r="L130" s="110"/>
      <c r="M130" s="110"/>
      <c r="N130" s="110"/>
      <c r="O130" s="110"/>
      <c r="P130" s="110"/>
      <c r="Q130" s="110"/>
      <c r="R130" s="110"/>
      <c r="S130" s="110"/>
      <c r="T130" s="112"/>
      <c r="U130" s="5"/>
      <c r="V130" s="5"/>
      <c r="W130" s="5"/>
      <c r="X130" s="5"/>
      <c r="Y130" s="5"/>
      <c r="Z130" s="5"/>
      <c r="AA130" s="112"/>
      <c r="AB130" s="5"/>
      <c r="AC130" s="5"/>
    </row>
    <row r="131" ht="18.0" customHeight="1">
      <c r="A131" s="109"/>
      <c r="B131" s="110"/>
      <c r="C131" s="111"/>
      <c r="D131" s="112"/>
      <c r="E131" s="113"/>
      <c r="F131" s="114"/>
      <c r="G131" s="114"/>
      <c r="H131" s="113"/>
      <c r="I131" s="114"/>
      <c r="J131" s="114"/>
      <c r="K131" s="114"/>
      <c r="L131" s="110"/>
      <c r="M131" s="110"/>
      <c r="N131" s="110"/>
      <c r="O131" s="110"/>
      <c r="P131" s="110"/>
      <c r="Q131" s="110"/>
      <c r="R131" s="110"/>
      <c r="S131" s="110"/>
      <c r="T131" s="112"/>
      <c r="U131" s="5"/>
      <c r="V131" s="5"/>
      <c r="W131" s="5"/>
      <c r="X131" s="5"/>
      <c r="Y131" s="5"/>
      <c r="Z131" s="5"/>
      <c r="AA131" s="112"/>
      <c r="AB131" s="5"/>
      <c r="AC131" s="5"/>
    </row>
    <row r="132" ht="18.0" customHeight="1">
      <c r="A132" s="109"/>
      <c r="B132" s="110"/>
      <c r="C132" s="111"/>
      <c r="D132" s="112"/>
      <c r="E132" s="113"/>
      <c r="F132" s="114"/>
      <c r="G132" s="114"/>
      <c r="H132" s="113"/>
      <c r="I132" s="114"/>
      <c r="J132" s="114"/>
      <c r="K132" s="114"/>
      <c r="L132" s="110"/>
      <c r="M132" s="110"/>
      <c r="N132" s="110"/>
      <c r="O132" s="110"/>
      <c r="P132" s="110"/>
      <c r="Q132" s="110"/>
      <c r="R132" s="110"/>
      <c r="S132" s="110"/>
      <c r="T132" s="112"/>
      <c r="U132" s="5"/>
      <c r="V132" s="5"/>
      <c r="W132" s="5"/>
      <c r="X132" s="5"/>
      <c r="Y132" s="5"/>
      <c r="Z132" s="5"/>
      <c r="AA132" s="112"/>
      <c r="AB132" s="5"/>
      <c r="AC132" s="5"/>
    </row>
    <row r="133" ht="18.0" customHeight="1">
      <c r="A133" s="109"/>
      <c r="B133" s="110"/>
      <c r="C133" s="111"/>
      <c r="D133" s="112"/>
      <c r="E133" s="113"/>
      <c r="F133" s="114"/>
      <c r="G133" s="114"/>
      <c r="H133" s="113"/>
      <c r="I133" s="114"/>
      <c r="J133" s="114"/>
      <c r="K133" s="114"/>
      <c r="L133" s="110"/>
      <c r="M133" s="110"/>
      <c r="N133" s="110"/>
      <c r="O133" s="110"/>
      <c r="P133" s="110"/>
      <c r="Q133" s="110"/>
      <c r="R133" s="110"/>
      <c r="S133" s="110"/>
      <c r="T133" s="112"/>
      <c r="U133" s="5"/>
      <c r="V133" s="5"/>
      <c r="W133" s="5"/>
      <c r="X133" s="5"/>
      <c r="Y133" s="5"/>
      <c r="Z133" s="5"/>
      <c r="AA133" s="112"/>
      <c r="AB133" s="5"/>
      <c r="AC133" s="5"/>
    </row>
    <row r="134" ht="18.0" customHeight="1">
      <c r="A134" s="109"/>
      <c r="B134" s="110"/>
      <c r="C134" s="111"/>
      <c r="D134" s="112"/>
      <c r="E134" s="113"/>
      <c r="F134" s="114"/>
      <c r="G134" s="114"/>
      <c r="H134" s="113"/>
      <c r="I134" s="114"/>
      <c r="J134" s="114"/>
      <c r="K134" s="114"/>
      <c r="L134" s="110"/>
      <c r="M134" s="110"/>
      <c r="N134" s="110"/>
      <c r="O134" s="110"/>
      <c r="P134" s="110"/>
      <c r="Q134" s="110"/>
      <c r="R134" s="110"/>
      <c r="S134" s="110"/>
      <c r="T134" s="112"/>
      <c r="U134" s="5"/>
      <c r="V134" s="5"/>
      <c r="W134" s="5"/>
      <c r="X134" s="5"/>
      <c r="Y134" s="5"/>
      <c r="Z134" s="5"/>
      <c r="AA134" s="112"/>
      <c r="AB134" s="5"/>
      <c r="AC134" s="5"/>
    </row>
    <row r="135" ht="18.0" customHeight="1">
      <c r="A135" s="109"/>
      <c r="B135" s="110"/>
      <c r="C135" s="111"/>
      <c r="D135" s="112"/>
      <c r="E135" s="113"/>
      <c r="F135" s="114"/>
      <c r="G135" s="114"/>
      <c r="H135" s="113"/>
      <c r="I135" s="114"/>
      <c r="J135" s="114"/>
      <c r="K135" s="114"/>
      <c r="L135" s="110"/>
      <c r="M135" s="110"/>
      <c r="N135" s="110"/>
      <c r="O135" s="110"/>
      <c r="P135" s="110"/>
      <c r="Q135" s="110"/>
      <c r="R135" s="110"/>
      <c r="S135" s="110"/>
      <c r="T135" s="112"/>
      <c r="U135" s="5"/>
      <c r="V135" s="5"/>
      <c r="W135" s="5"/>
      <c r="X135" s="5"/>
      <c r="Y135" s="5"/>
      <c r="Z135" s="5"/>
      <c r="AA135" s="112"/>
      <c r="AB135" s="5"/>
      <c r="AC135" s="5"/>
    </row>
    <row r="136" ht="18.0" customHeight="1">
      <c r="A136" s="109"/>
      <c r="B136" s="110"/>
      <c r="C136" s="111"/>
      <c r="D136" s="112"/>
      <c r="E136" s="113"/>
      <c r="F136" s="114"/>
      <c r="G136" s="114"/>
      <c r="H136" s="113"/>
      <c r="I136" s="114"/>
      <c r="J136" s="114"/>
      <c r="K136" s="114"/>
      <c r="L136" s="110"/>
      <c r="M136" s="110"/>
      <c r="N136" s="110"/>
      <c r="O136" s="110"/>
      <c r="P136" s="110"/>
      <c r="Q136" s="110"/>
      <c r="R136" s="110"/>
      <c r="S136" s="110"/>
      <c r="T136" s="112"/>
      <c r="U136" s="5"/>
      <c r="V136" s="5"/>
      <c r="W136" s="5"/>
      <c r="X136" s="5"/>
      <c r="Y136" s="5"/>
      <c r="Z136" s="5"/>
      <c r="AA136" s="112"/>
      <c r="AB136" s="5"/>
      <c r="AC136" s="5"/>
    </row>
    <row r="137" ht="18.0" customHeight="1">
      <c r="A137" s="109"/>
      <c r="B137" s="110"/>
      <c r="C137" s="111"/>
      <c r="D137" s="112"/>
      <c r="E137" s="113"/>
      <c r="F137" s="114"/>
      <c r="G137" s="114"/>
      <c r="H137" s="113"/>
      <c r="I137" s="114"/>
      <c r="J137" s="114"/>
      <c r="K137" s="114"/>
      <c r="L137" s="110"/>
      <c r="M137" s="110"/>
      <c r="N137" s="110"/>
      <c r="O137" s="110"/>
      <c r="P137" s="110"/>
      <c r="Q137" s="110"/>
      <c r="R137" s="110"/>
      <c r="S137" s="110"/>
      <c r="T137" s="112"/>
      <c r="U137" s="5"/>
      <c r="V137" s="5"/>
      <c r="W137" s="5"/>
      <c r="X137" s="5"/>
      <c r="Y137" s="5"/>
      <c r="Z137" s="5"/>
      <c r="AA137" s="112"/>
      <c r="AB137" s="5"/>
      <c r="AC137" s="5"/>
    </row>
    <row r="138" ht="18.0" customHeight="1">
      <c r="A138" s="109"/>
      <c r="B138" s="110"/>
      <c r="C138" s="111"/>
      <c r="D138" s="112"/>
      <c r="E138" s="113"/>
      <c r="F138" s="114"/>
      <c r="G138" s="114"/>
      <c r="H138" s="113"/>
      <c r="I138" s="114"/>
      <c r="J138" s="114"/>
      <c r="K138" s="114"/>
      <c r="L138" s="110"/>
      <c r="M138" s="110"/>
      <c r="N138" s="110"/>
      <c r="O138" s="110"/>
      <c r="P138" s="110"/>
      <c r="Q138" s="110"/>
      <c r="R138" s="110"/>
      <c r="S138" s="110"/>
      <c r="T138" s="112"/>
      <c r="U138" s="5"/>
      <c r="V138" s="5"/>
      <c r="W138" s="5"/>
      <c r="X138" s="5"/>
      <c r="Y138" s="5"/>
      <c r="Z138" s="5"/>
      <c r="AA138" s="112"/>
      <c r="AB138" s="5"/>
      <c r="AC138" s="5"/>
    </row>
    <row r="139" ht="18.0" customHeight="1">
      <c r="A139" s="109"/>
      <c r="B139" s="110"/>
      <c r="C139" s="111"/>
      <c r="D139" s="112"/>
      <c r="E139" s="113"/>
      <c r="F139" s="114"/>
      <c r="G139" s="114"/>
      <c r="H139" s="113"/>
      <c r="I139" s="114"/>
      <c r="J139" s="114"/>
      <c r="K139" s="114"/>
      <c r="L139" s="110"/>
      <c r="M139" s="110"/>
      <c r="N139" s="110"/>
      <c r="O139" s="110"/>
      <c r="P139" s="110"/>
      <c r="Q139" s="110"/>
      <c r="R139" s="110"/>
      <c r="S139" s="110"/>
      <c r="T139" s="112"/>
      <c r="U139" s="5"/>
      <c r="V139" s="5"/>
      <c r="W139" s="5"/>
      <c r="X139" s="5"/>
      <c r="Y139" s="5"/>
      <c r="Z139" s="5"/>
      <c r="AA139" s="112"/>
      <c r="AB139" s="5"/>
      <c r="AC139" s="5"/>
    </row>
    <row r="140" ht="18.0" customHeight="1">
      <c r="A140" s="109"/>
      <c r="B140" s="110"/>
      <c r="C140" s="111"/>
      <c r="D140" s="112"/>
      <c r="E140" s="113"/>
      <c r="F140" s="114"/>
      <c r="G140" s="114"/>
      <c r="H140" s="113"/>
      <c r="I140" s="114"/>
      <c r="J140" s="114"/>
      <c r="K140" s="114"/>
      <c r="L140" s="110"/>
      <c r="M140" s="110"/>
      <c r="N140" s="110"/>
      <c r="O140" s="110"/>
      <c r="P140" s="110"/>
      <c r="Q140" s="110"/>
      <c r="R140" s="110"/>
      <c r="S140" s="110"/>
      <c r="T140" s="112"/>
      <c r="U140" s="5"/>
      <c r="V140" s="5"/>
      <c r="W140" s="5"/>
      <c r="X140" s="5"/>
      <c r="Y140" s="5"/>
      <c r="Z140" s="5"/>
      <c r="AA140" s="112"/>
      <c r="AB140" s="5"/>
      <c r="AC140" s="5"/>
    </row>
    <row r="141" ht="18.0" customHeight="1">
      <c r="A141" s="109"/>
      <c r="B141" s="110"/>
      <c r="C141" s="111"/>
      <c r="D141" s="112"/>
      <c r="E141" s="113"/>
      <c r="F141" s="114"/>
      <c r="G141" s="114"/>
      <c r="H141" s="113"/>
      <c r="I141" s="114"/>
      <c r="J141" s="114"/>
      <c r="K141" s="114"/>
      <c r="L141" s="110"/>
      <c r="M141" s="110"/>
      <c r="N141" s="110"/>
      <c r="O141" s="110"/>
      <c r="P141" s="110"/>
      <c r="Q141" s="110"/>
      <c r="R141" s="110"/>
      <c r="S141" s="110"/>
      <c r="T141" s="112"/>
      <c r="U141" s="5"/>
      <c r="V141" s="5"/>
      <c r="W141" s="5"/>
      <c r="X141" s="5"/>
      <c r="Y141" s="5"/>
      <c r="Z141" s="5"/>
      <c r="AA141" s="112"/>
      <c r="AB141" s="5"/>
      <c r="AC141" s="5"/>
    </row>
    <row r="142" ht="18.0" customHeight="1">
      <c r="A142" s="109"/>
      <c r="B142" s="110"/>
      <c r="C142" s="111"/>
      <c r="D142" s="112"/>
      <c r="E142" s="113"/>
      <c r="F142" s="114"/>
      <c r="G142" s="114"/>
      <c r="H142" s="113"/>
      <c r="I142" s="114"/>
      <c r="J142" s="114"/>
      <c r="K142" s="114"/>
      <c r="L142" s="110"/>
      <c r="M142" s="110"/>
      <c r="N142" s="110"/>
      <c r="O142" s="110"/>
      <c r="P142" s="110"/>
      <c r="Q142" s="110"/>
      <c r="R142" s="110"/>
      <c r="S142" s="110"/>
      <c r="T142" s="112"/>
      <c r="U142" s="5"/>
      <c r="V142" s="5"/>
      <c r="W142" s="5"/>
      <c r="X142" s="5"/>
      <c r="Y142" s="5"/>
      <c r="Z142" s="5"/>
      <c r="AA142" s="112"/>
      <c r="AB142" s="5"/>
      <c r="AC142" s="5"/>
    </row>
    <row r="143" ht="18.0" customHeight="1">
      <c r="A143" s="109"/>
      <c r="B143" s="110"/>
      <c r="C143" s="111"/>
      <c r="D143" s="112"/>
      <c r="E143" s="113"/>
      <c r="F143" s="114"/>
      <c r="G143" s="114"/>
      <c r="H143" s="113"/>
      <c r="I143" s="114"/>
      <c r="J143" s="114"/>
      <c r="K143" s="114"/>
      <c r="L143" s="110"/>
      <c r="M143" s="110"/>
      <c r="N143" s="110"/>
      <c r="O143" s="110"/>
      <c r="P143" s="110"/>
      <c r="Q143" s="110"/>
      <c r="R143" s="110"/>
      <c r="S143" s="110"/>
      <c r="T143" s="112"/>
      <c r="U143" s="5"/>
      <c r="V143" s="5"/>
      <c r="W143" s="5"/>
      <c r="X143" s="5"/>
      <c r="Y143" s="5"/>
      <c r="Z143" s="5"/>
      <c r="AA143" s="112"/>
      <c r="AB143" s="5"/>
      <c r="AC143" s="5"/>
    </row>
    <row r="144" ht="18.0" customHeight="1">
      <c r="A144" s="109"/>
      <c r="B144" s="110"/>
      <c r="C144" s="111"/>
      <c r="D144" s="112"/>
      <c r="E144" s="113"/>
      <c r="F144" s="114"/>
      <c r="G144" s="114"/>
      <c r="H144" s="113"/>
      <c r="I144" s="114"/>
      <c r="J144" s="114"/>
      <c r="K144" s="114"/>
      <c r="L144" s="110"/>
      <c r="M144" s="110"/>
      <c r="N144" s="110"/>
      <c r="O144" s="110"/>
      <c r="P144" s="110"/>
      <c r="Q144" s="110"/>
      <c r="R144" s="110"/>
      <c r="S144" s="110"/>
      <c r="T144" s="112"/>
      <c r="U144" s="5"/>
      <c r="V144" s="5"/>
      <c r="W144" s="5"/>
      <c r="X144" s="5"/>
      <c r="Y144" s="5"/>
      <c r="Z144" s="5"/>
      <c r="AA144" s="112"/>
      <c r="AB144" s="5"/>
      <c r="AC144" s="5"/>
    </row>
    <row r="145" ht="18.0" customHeight="1">
      <c r="A145" s="109"/>
      <c r="B145" s="110"/>
      <c r="C145" s="111"/>
      <c r="D145" s="112"/>
      <c r="E145" s="113"/>
      <c r="F145" s="114"/>
      <c r="G145" s="114"/>
      <c r="H145" s="113"/>
      <c r="I145" s="114"/>
      <c r="J145" s="114"/>
      <c r="K145" s="114"/>
      <c r="L145" s="110"/>
      <c r="M145" s="110"/>
      <c r="N145" s="110"/>
      <c r="O145" s="110"/>
      <c r="P145" s="110"/>
      <c r="Q145" s="110"/>
      <c r="R145" s="110"/>
      <c r="S145" s="110"/>
      <c r="T145" s="112"/>
      <c r="U145" s="5"/>
      <c r="V145" s="5"/>
      <c r="W145" s="5"/>
      <c r="X145" s="5"/>
      <c r="Y145" s="5"/>
      <c r="Z145" s="5"/>
      <c r="AA145" s="112"/>
      <c r="AB145" s="5"/>
      <c r="AC145" s="5"/>
    </row>
    <row r="146" ht="18.0" customHeight="1">
      <c r="A146" s="109"/>
      <c r="B146" s="110"/>
      <c r="C146" s="111"/>
      <c r="D146" s="112"/>
      <c r="E146" s="113"/>
      <c r="F146" s="114"/>
      <c r="G146" s="114"/>
      <c r="H146" s="113"/>
      <c r="I146" s="114"/>
      <c r="J146" s="114"/>
      <c r="K146" s="114"/>
      <c r="L146" s="110"/>
      <c r="M146" s="110"/>
      <c r="N146" s="110"/>
      <c r="O146" s="110"/>
      <c r="P146" s="110"/>
      <c r="Q146" s="110"/>
      <c r="R146" s="110"/>
      <c r="S146" s="110"/>
      <c r="T146" s="112"/>
      <c r="U146" s="5"/>
      <c r="V146" s="5"/>
      <c r="W146" s="5"/>
      <c r="X146" s="5"/>
      <c r="Y146" s="5"/>
      <c r="Z146" s="5"/>
      <c r="AA146" s="112"/>
      <c r="AB146" s="5"/>
      <c r="AC146" s="5"/>
    </row>
    <row r="147" ht="18.0" customHeight="1">
      <c r="A147" s="109"/>
      <c r="B147" s="110"/>
      <c r="C147" s="111"/>
      <c r="D147" s="112"/>
      <c r="E147" s="113"/>
      <c r="F147" s="114"/>
      <c r="G147" s="114"/>
      <c r="H147" s="113"/>
      <c r="I147" s="114"/>
      <c r="J147" s="114"/>
      <c r="K147" s="114"/>
      <c r="L147" s="110"/>
      <c r="M147" s="110"/>
      <c r="N147" s="110"/>
      <c r="O147" s="110"/>
      <c r="P147" s="110"/>
      <c r="Q147" s="110"/>
      <c r="R147" s="110"/>
      <c r="S147" s="110"/>
      <c r="T147" s="112"/>
      <c r="U147" s="5"/>
      <c r="V147" s="5"/>
      <c r="W147" s="5"/>
      <c r="X147" s="5"/>
      <c r="Y147" s="5"/>
      <c r="Z147" s="5"/>
      <c r="AA147" s="112"/>
      <c r="AB147" s="5"/>
      <c r="AC147" s="5"/>
    </row>
    <row r="148" ht="18.0" customHeight="1">
      <c r="A148" s="109"/>
      <c r="B148" s="110"/>
      <c r="C148" s="111"/>
      <c r="D148" s="112"/>
      <c r="E148" s="113"/>
      <c r="F148" s="114"/>
      <c r="G148" s="114"/>
      <c r="H148" s="113"/>
      <c r="I148" s="114"/>
      <c r="J148" s="114"/>
      <c r="K148" s="114"/>
      <c r="L148" s="110"/>
      <c r="M148" s="110"/>
      <c r="N148" s="110"/>
      <c r="O148" s="110"/>
      <c r="P148" s="110"/>
      <c r="Q148" s="110"/>
      <c r="R148" s="110"/>
      <c r="S148" s="110"/>
      <c r="T148" s="112"/>
      <c r="U148" s="5"/>
      <c r="V148" s="5"/>
      <c r="W148" s="5"/>
      <c r="X148" s="5"/>
      <c r="Y148" s="5"/>
      <c r="Z148" s="5"/>
      <c r="AA148" s="112"/>
      <c r="AB148" s="5"/>
      <c r="AC148" s="5"/>
    </row>
    <row r="149" ht="18.0" customHeight="1">
      <c r="A149" s="109"/>
      <c r="B149" s="110"/>
      <c r="C149" s="111"/>
      <c r="D149" s="112"/>
      <c r="E149" s="113"/>
      <c r="F149" s="114"/>
      <c r="G149" s="114"/>
      <c r="H149" s="113"/>
      <c r="I149" s="114"/>
      <c r="J149" s="114"/>
      <c r="K149" s="114"/>
      <c r="L149" s="110"/>
      <c r="M149" s="110"/>
      <c r="N149" s="110"/>
      <c r="O149" s="110"/>
      <c r="P149" s="110"/>
      <c r="Q149" s="110"/>
      <c r="R149" s="110"/>
      <c r="S149" s="110"/>
      <c r="T149" s="112"/>
      <c r="U149" s="5"/>
      <c r="V149" s="5"/>
      <c r="W149" s="5"/>
      <c r="X149" s="5"/>
      <c r="Y149" s="5"/>
      <c r="Z149" s="5"/>
      <c r="AA149" s="112"/>
      <c r="AB149" s="5"/>
      <c r="AC149" s="5"/>
    </row>
    <row r="150" ht="18.0" customHeight="1">
      <c r="A150" s="109"/>
      <c r="B150" s="110"/>
      <c r="C150" s="111"/>
      <c r="D150" s="112"/>
      <c r="E150" s="113"/>
      <c r="F150" s="114"/>
      <c r="G150" s="114"/>
      <c r="H150" s="113"/>
      <c r="I150" s="114"/>
      <c r="J150" s="114"/>
      <c r="K150" s="114"/>
      <c r="L150" s="110"/>
      <c r="M150" s="110"/>
      <c r="N150" s="110"/>
      <c r="O150" s="110"/>
      <c r="P150" s="110"/>
      <c r="Q150" s="110"/>
      <c r="R150" s="110"/>
      <c r="S150" s="110"/>
      <c r="T150" s="112"/>
      <c r="U150" s="5"/>
      <c r="V150" s="5"/>
      <c r="W150" s="5"/>
      <c r="X150" s="5"/>
      <c r="Y150" s="5"/>
      <c r="Z150" s="5"/>
      <c r="AA150" s="112"/>
      <c r="AB150" s="5"/>
      <c r="AC150" s="5"/>
    </row>
    <row r="151" ht="18.0" customHeight="1">
      <c r="A151" s="109"/>
      <c r="B151" s="110"/>
      <c r="C151" s="111"/>
      <c r="D151" s="112"/>
      <c r="E151" s="113"/>
      <c r="F151" s="114"/>
      <c r="G151" s="114"/>
      <c r="H151" s="113"/>
      <c r="I151" s="114"/>
      <c r="J151" s="114"/>
      <c r="K151" s="114"/>
      <c r="L151" s="110"/>
      <c r="M151" s="110"/>
      <c r="N151" s="110"/>
      <c r="O151" s="110"/>
      <c r="P151" s="110"/>
      <c r="Q151" s="110"/>
      <c r="R151" s="110"/>
      <c r="S151" s="110"/>
      <c r="T151" s="112"/>
      <c r="U151" s="5"/>
      <c r="V151" s="5"/>
      <c r="W151" s="5"/>
      <c r="X151" s="5"/>
      <c r="Y151" s="5"/>
      <c r="Z151" s="5"/>
      <c r="AA151" s="112"/>
      <c r="AB151" s="5"/>
      <c r="AC151" s="5"/>
    </row>
    <row r="152" ht="18.0" customHeight="1">
      <c r="A152" s="109"/>
      <c r="B152" s="110"/>
      <c r="C152" s="111"/>
      <c r="D152" s="112"/>
      <c r="E152" s="113"/>
      <c r="F152" s="114"/>
      <c r="G152" s="114"/>
      <c r="H152" s="113"/>
      <c r="I152" s="114"/>
      <c r="J152" s="114"/>
      <c r="K152" s="114"/>
      <c r="L152" s="110"/>
      <c r="M152" s="110"/>
      <c r="N152" s="110"/>
      <c r="O152" s="110"/>
      <c r="P152" s="110"/>
      <c r="Q152" s="110"/>
      <c r="R152" s="110"/>
      <c r="S152" s="110"/>
      <c r="T152" s="112"/>
      <c r="U152" s="5"/>
      <c r="V152" s="5"/>
      <c r="W152" s="5"/>
      <c r="X152" s="5"/>
      <c r="Y152" s="5"/>
      <c r="Z152" s="5"/>
      <c r="AA152" s="112"/>
      <c r="AB152" s="5"/>
      <c r="AC152" s="5"/>
    </row>
    <row r="153" ht="18.0" customHeight="1">
      <c r="A153" s="109"/>
      <c r="B153" s="110"/>
      <c r="C153" s="111"/>
      <c r="D153" s="112"/>
      <c r="E153" s="113"/>
      <c r="F153" s="114"/>
      <c r="G153" s="114"/>
      <c r="H153" s="113"/>
      <c r="I153" s="114"/>
      <c r="J153" s="114"/>
      <c r="K153" s="114"/>
      <c r="L153" s="110"/>
      <c r="M153" s="110"/>
      <c r="N153" s="110"/>
      <c r="O153" s="110"/>
      <c r="P153" s="110"/>
      <c r="Q153" s="110"/>
      <c r="R153" s="110"/>
      <c r="S153" s="110"/>
      <c r="T153" s="112"/>
      <c r="U153" s="5"/>
      <c r="V153" s="5"/>
      <c r="W153" s="5"/>
      <c r="X153" s="5"/>
      <c r="Y153" s="5"/>
      <c r="Z153" s="5"/>
      <c r="AA153" s="112"/>
      <c r="AB153" s="5"/>
      <c r="AC153" s="5"/>
    </row>
    <row r="154" ht="18.0" customHeight="1">
      <c r="A154" s="109"/>
      <c r="B154" s="110"/>
      <c r="C154" s="111"/>
      <c r="D154" s="112"/>
      <c r="E154" s="113"/>
      <c r="F154" s="114"/>
      <c r="G154" s="114"/>
      <c r="H154" s="113"/>
      <c r="I154" s="114"/>
      <c r="J154" s="114"/>
      <c r="K154" s="114"/>
      <c r="L154" s="110"/>
      <c r="M154" s="110"/>
      <c r="N154" s="110"/>
      <c r="O154" s="110"/>
      <c r="P154" s="110"/>
      <c r="Q154" s="110"/>
      <c r="R154" s="110"/>
      <c r="S154" s="110"/>
      <c r="T154" s="112"/>
      <c r="U154" s="5"/>
      <c r="V154" s="5"/>
      <c r="W154" s="5"/>
      <c r="X154" s="5"/>
      <c r="Y154" s="5"/>
      <c r="Z154" s="5"/>
      <c r="AA154" s="112"/>
      <c r="AB154" s="5"/>
      <c r="AC154" s="5"/>
    </row>
    <row r="155" ht="18.0" customHeight="1">
      <c r="A155" s="109"/>
      <c r="B155" s="110"/>
      <c r="C155" s="111"/>
      <c r="D155" s="112"/>
      <c r="E155" s="113"/>
      <c r="F155" s="114"/>
      <c r="G155" s="114"/>
      <c r="H155" s="113"/>
      <c r="I155" s="114"/>
      <c r="J155" s="114"/>
      <c r="K155" s="114"/>
      <c r="L155" s="110"/>
      <c r="M155" s="110"/>
      <c r="N155" s="110"/>
      <c r="O155" s="110"/>
      <c r="P155" s="110"/>
      <c r="Q155" s="110"/>
      <c r="R155" s="110"/>
      <c r="S155" s="110"/>
      <c r="T155" s="112"/>
      <c r="U155" s="5"/>
      <c r="V155" s="5"/>
      <c r="W155" s="5"/>
      <c r="X155" s="5"/>
      <c r="Y155" s="5"/>
      <c r="Z155" s="5"/>
      <c r="AA155" s="112"/>
      <c r="AB155" s="5"/>
      <c r="AC155" s="5"/>
    </row>
    <row r="156" ht="18.0" customHeight="1">
      <c r="A156" s="109"/>
      <c r="B156" s="110"/>
      <c r="C156" s="111"/>
      <c r="D156" s="112"/>
      <c r="E156" s="113"/>
      <c r="F156" s="114"/>
      <c r="G156" s="114"/>
      <c r="H156" s="113"/>
      <c r="I156" s="114"/>
      <c r="J156" s="114"/>
      <c r="K156" s="114"/>
      <c r="L156" s="110"/>
      <c r="M156" s="110"/>
      <c r="N156" s="110"/>
      <c r="O156" s="110"/>
      <c r="P156" s="110"/>
      <c r="Q156" s="110"/>
      <c r="R156" s="110"/>
      <c r="S156" s="110"/>
      <c r="T156" s="112"/>
      <c r="U156" s="5"/>
      <c r="V156" s="5"/>
      <c r="W156" s="5"/>
      <c r="X156" s="5"/>
      <c r="Y156" s="5"/>
      <c r="Z156" s="5"/>
      <c r="AA156" s="112"/>
      <c r="AB156" s="5"/>
      <c r="AC156" s="5"/>
    </row>
    <row r="157" ht="18.0" customHeight="1">
      <c r="A157" s="109"/>
      <c r="B157" s="110"/>
      <c r="C157" s="111"/>
      <c r="D157" s="112"/>
      <c r="E157" s="113"/>
      <c r="F157" s="114"/>
      <c r="G157" s="114"/>
      <c r="H157" s="113"/>
      <c r="I157" s="114"/>
      <c r="J157" s="114"/>
      <c r="K157" s="114"/>
      <c r="L157" s="110"/>
      <c r="M157" s="110"/>
      <c r="N157" s="110"/>
      <c r="O157" s="110"/>
      <c r="P157" s="110"/>
      <c r="Q157" s="110"/>
      <c r="R157" s="110"/>
      <c r="S157" s="110"/>
      <c r="T157" s="112"/>
      <c r="U157" s="5"/>
      <c r="V157" s="5"/>
      <c r="W157" s="5"/>
      <c r="X157" s="5"/>
      <c r="Y157" s="5"/>
      <c r="Z157" s="5"/>
      <c r="AA157" s="112"/>
      <c r="AB157" s="5"/>
      <c r="AC157" s="5"/>
    </row>
    <row r="158" ht="18.0" customHeight="1">
      <c r="A158" s="109"/>
      <c r="B158" s="110"/>
      <c r="C158" s="111"/>
      <c r="D158" s="112"/>
      <c r="E158" s="113"/>
      <c r="F158" s="114"/>
      <c r="G158" s="114"/>
      <c r="H158" s="113"/>
      <c r="I158" s="114"/>
      <c r="J158" s="114"/>
      <c r="K158" s="114"/>
      <c r="L158" s="110"/>
      <c r="M158" s="110"/>
      <c r="N158" s="110"/>
      <c r="O158" s="110"/>
      <c r="P158" s="110"/>
      <c r="Q158" s="110"/>
      <c r="R158" s="110"/>
      <c r="S158" s="110"/>
      <c r="T158" s="112"/>
      <c r="U158" s="5"/>
      <c r="V158" s="5"/>
      <c r="W158" s="5"/>
      <c r="X158" s="5"/>
      <c r="Y158" s="5"/>
      <c r="Z158" s="5"/>
      <c r="AA158" s="112"/>
      <c r="AB158" s="5"/>
      <c r="AC158" s="5"/>
    </row>
    <row r="159" ht="18.0" customHeight="1">
      <c r="A159" s="109"/>
      <c r="B159" s="110"/>
      <c r="C159" s="111"/>
      <c r="D159" s="112"/>
      <c r="E159" s="113"/>
      <c r="F159" s="114"/>
      <c r="G159" s="114"/>
      <c r="H159" s="113"/>
      <c r="I159" s="114"/>
      <c r="J159" s="114"/>
      <c r="K159" s="114"/>
      <c r="L159" s="110"/>
      <c r="M159" s="110"/>
      <c r="N159" s="110"/>
      <c r="O159" s="110"/>
      <c r="P159" s="110"/>
      <c r="Q159" s="110"/>
      <c r="R159" s="110"/>
      <c r="S159" s="110"/>
      <c r="T159" s="112"/>
      <c r="U159" s="5"/>
      <c r="V159" s="5"/>
      <c r="W159" s="5"/>
      <c r="X159" s="5"/>
      <c r="Y159" s="5"/>
      <c r="Z159" s="5"/>
      <c r="AA159" s="112"/>
      <c r="AB159" s="5"/>
      <c r="AC159" s="5"/>
    </row>
    <row r="160" ht="18.0" customHeight="1">
      <c r="A160" s="109"/>
      <c r="B160" s="110"/>
      <c r="C160" s="111"/>
      <c r="D160" s="112"/>
      <c r="E160" s="113"/>
      <c r="F160" s="114"/>
      <c r="G160" s="114"/>
      <c r="H160" s="113"/>
      <c r="I160" s="114"/>
      <c r="J160" s="114"/>
      <c r="K160" s="114"/>
      <c r="L160" s="110"/>
      <c r="M160" s="110"/>
      <c r="N160" s="110"/>
      <c r="O160" s="110"/>
      <c r="P160" s="110"/>
      <c r="Q160" s="110"/>
      <c r="R160" s="110"/>
      <c r="S160" s="110"/>
      <c r="T160" s="112"/>
      <c r="U160" s="5"/>
      <c r="V160" s="5"/>
      <c r="W160" s="5"/>
      <c r="X160" s="5"/>
      <c r="Y160" s="5"/>
      <c r="Z160" s="5"/>
      <c r="AA160" s="112"/>
      <c r="AB160" s="5"/>
      <c r="AC160" s="5"/>
    </row>
    <row r="161" ht="18.0" customHeight="1">
      <c r="A161" s="109"/>
      <c r="B161" s="110"/>
      <c r="C161" s="111"/>
      <c r="D161" s="112"/>
      <c r="E161" s="113"/>
      <c r="F161" s="114"/>
      <c r="G161" s="114"/>
      <c r="H161" s="113"/>
      <c r="I161" s="114"/>
      <c r="J161" s="114"/>
      <c r="K161" s="114"/>
      <c r="L161" s="110"/>
      <c r="M161" s="110"/>
      <c r="N161" s="110"/>
      <c r="O161" s="110"/>
      <c r="P161" s="110"/>
      <c r="Q161" s="110"/>
      <c r="R161" s="110"/>
      <c r="S161" s="110"/>
      <c r="T161" s="112"/>
      <c r="U161" s="5"/>
      <c r="V161" s="5"/>
      <c r="W161" s="5"/>
      <c r="X161" s="5"/>
      <c r="Y161" s="5"/>
      <c r="Z161" s="5"/>
      <c r="AA161" s="112"/>
      <c r="AB161" s="5"/>
      <c r="AC161" s="5"/>
    </row>
    <row r="162" ht="18.0" customHeight="1">
      <c r="A162" s="109"/>
      <c r="B162" s="110"/>
      <c r="C162" s="111"/>
      <c r="D162" s="112"/>
      <c r="E162" s="113"/>
      <c r="F162" s="114"/>
      <c r="G162" s="114"/>
      <c r="H162" s="113"/>
      <c r="I162" s="114"/>
      <c r="J162" s="114"/>
      <c r="K162" s="114"/>
      <c r="L162" s="110"/>
      <c r="M162" s="110"/>
      <c r="N162" s="110"/>
      <c r="O162" s="110"/>
      <c r="P162" s="110"/>
      <c r="Q162" s="110"/>
      <c r="R162" s="110"/>
      <c r="S162" s="110"/>
      <c r="T162" s="112"/>
      <c r="U162" s="5"/>
      <c r="V162" s="5"/>
      <c r="W162" s="5"/>
      <c r="X162" s="5"/>
      <c r="Y162" s="5"/>
      <c r="Z162" s="5"/>
      <c r="AA162" s="112"/>
      <c r="AB162" s="5"/>
      <c r="AC162" s="5"/>
    </row>
    <row r="163" ht="18.0" customHeight="1">
      <c r="A163" s="109"/>
      <c r="B163" s="110"/>
      <c r="C163" s="111"/>
      <c r="D163" s="112"/>
      <c r="E163" s="113"/>
      <c r="F163" s="114"/>
      <c r="G163" s="114"/>
      <c r="H163" s="113"/>
      <c r="I163" s="114"/>
      <c r="J163" s="114"/>
      <c r="K163" s="114"/>
      <c r="L163" s="110"/>
      <c r="M163" s="110"/>
      <c r="N163" s="110"/>
      <c r="O163" s="110"/>
      <c r="P163" s="110"/>
      <c r="Q163" s="110"/>
      <c r="R163" s="110"/>
      <c r="S163" s="110"/>
      <c r="T163" s="112"/>
      <c r="U163" s="5"/>
      <c r="V163" s="5"/>
      <c r="W163" s="5"/>
      <c r="X163" s="5"/>
      <c r="Y163" s="5"/>
      <c r="Z163" s="5"/>
      <c r="AA163" s="112"/>
      <c r="AB163" s="5"/>
      <c r="AC163" s="5"/>
    </row>
    <row r="164" ht="18.0" customHeight="1">
      <c r="A164" s="109"/>
      <c r="B164" s="110"/>
      <c r="C164" s="111"/>
      <c r="D164" s="112"/>
      <c r="E164" s="113"/>
      <c r="F164" s="114"/>
      <c r="G164" s="114"/>
      <c r="H164" s="113"/>
      <c r="I164" s="114"/>
      <c r="J164" s="114"/>
      <c r="K164" s="114"/>
      <c r="L164" s="110"/>
      <c r="M164" s="110"/>
      <c r="N164" s="110"/>
      <c r="O164" s="110"/>
      <c r="P164" s="110"/>
      <c r="Q164" s="110"/>
      <c r="R164" s="110"/>
      <c r="S164" s="110"/>
      <c r="T164" s="112"/>
      <c r="U164" s="5"/>
      <c r="V164" s="5"/>
      <c r="W164" s="5"/>
      <c r="X164" s="5"/>
      <c r="Y164" s="5"/>
      <c r="Z164" s="5"/>
      <c r="AA164" s="112"/>
      <c r="AB164" s="5"/>
      <c r="AC164" s="5"/>
    </row>
    <row r="165" ht="18.0" customHeight="1">
      <c r="A165" s="109"/>
      <c r="B165" s="110"/>
      <c r="C165" s="111"/>
      <c r="D165" s="112"/>
      <c r="E165" s="113"/>
      <c r="F165" s="114"/>
      <c r="G165" s="114"/>
      <c r="H165" s="113"/>
      <c r="I165" s="114"/>
      <c r="J165" s="114"/>
      <c r="K165" s="114"/>
      <c r="L165" s="110"/>
      <c r="M165" s="110"/>
      <c r="N165" s="110"/>
      <c r="O165" s="110"/>
      <c r="P165" s="110"/>
      <c r="Q165" s="110"/>
      <c r="R165" s="110"/>
      <c r="S165" s="110"/>
      <c r="T165" s="112"/>
      <c r="U165" s="5"/>
      <c r="V165" s="5"/>
      <c r="W165" s="5"/>
      <c r="X165" s="5"/>
      <c r="Y165" s="5"/>
      <c r="Z165" s="5"/>
      <c r="AA165" s="112"/>
      <c r="AB165" s="5"/>
      <c r="AC165" s="5"/>
    </row>
    <row r="166" ht="18.0" customHeight="1">
      <c r="A166" s="109"/>
      <c r="B166" s="110"/>
      <c r="C166" s="111"/>
      <c r="D166" s="112"/>
      <c r="E166" s="113"/>
      <c r="F166" s="114"/>
      <c r="G166" s="114"/>
      <c r="H166" s="113"/>
      <c r="I166" s="114"/>
      <c r="J166" s="114"/>
      <c r="K166" s="114"/>
      <c r="L166" s="110"/>
      <c r="M166" s="110"/>
      <c r="N166" s="110"/>
      <c r="O166" s="110"/>
      <c r="P166" s="110"/>
      <c r="Q166" s="110"/>
      <c r="R166" s="110"/>
      <c r="S166" s="110"/>
      <c r="T166" s="112"/>
      <c r="U166" s="5"/>
      <c r="V166" s="5"/>
      <c r="W166" s="5"/>
      <c r="X166" s="5"/>
      <c r="Y166" s="5"/>
      <c r="Z166" s="5"/>
      <c r="AA166" s="112"/>
      <c r="AB166" s="5"/>
      <c r="AC166" s="5"/>
    </row>
    <row r="167" ht="18.0" customHeight="1">
      <c r="A167" s="109"/>
      <c r="B167" s="110"/>
      <c r="C167" s="111"/>
      <c r="D167" s="112"/>
      <c r="E167" s="113"/>
      <c r="F167" s="114"/>
      <c r="G167" s="114"/>
      <c r="H167" s="113"/>
      <c r="I167" s="114"/>
      <c r="J167" s="114"/>
      <c r="K167" s="114"/>
      <c r="L167" s="110"/>
      <c r="M167" s="110"/>
      <c r="N167" s="110"/>
      <c r="O167" s="110"/>
      <c r="P167" s="110"/>
      <c r="Q167" s="110"/>
      <c r="R167" s="110"/>
      <c r="S167" s="110"/>
      <c r="T167" s="112"/>
      <c r="U167" s="5"/>
      <c r="V167" s="5"/>
      <c r="W167" s="5"/>
      <c r="X167" s="5"/>
      <c r="Y167" s="5"/>
      <c r="Z167" s="5"/>
      <c r="AA167" s="112"/>
      <c r="AB167" s="5"/>
      <c r="AC167" s="5"/>
    </row>
    <row r="168" ht="18.0" customHeight="1">
      <c r="A168" s="109"/>
      <c r="B168" s="110"/>
      <c r="C168" s="111"/>
      <c r="D168" s="112"/>
      <c r="E168" s="113"/>
      <c r="F168" s="114"/>
      <c r="G168" s="114"/>
      <c r="H168" s="113"/>
      <c r="I168" s="114"/>
      <c r="J168" s="114"/>
      <c r="K168" s="114"/>
      <c r="L168" s="110"/>
      <c r="M168" s="110"/>
      <c r="N168" s="110"/>
      <c r="O168" s="110"/>
      <c r="P168" s="110"/>
      <c r="Q168" s="110"/>
      <c r="R168" s="110"/>
      <c r="S168" s="110"/>
      <c r="T168" s="112"/>
      <c r="U168" s="5"/>
      <c r="V168" s="5"/>
      <c r="W168" s="5"/>
      <c r="X168" s="5"/>
      <c r="Y168" s="5"/>
      <c r="Z168" s="5"/>
      <c r="AA168" s="112"/>
      <c r="AB168" s="5"/>
      <c r="AC168" s="5"/>
    </row>
    <row r="169" ht="18.0" customHeight="1">
      <c r="A169" s="109"/>
      <c r="B169" s="110"/>
      <c r="C169" s="111"/>
      <c r="D169" s="112"/>
      <c r="E169" s="113"/>
      <c r="F169" s="114"/>
      <c r="G169" s="114"/>
      <c r="H169" s="113"/>
      <c r="I169" s="114"/>
      <c r="J169" s="114"/>
      <c r="K169" s="114"/>
      <c r="L169" s="110"/>
      <c r="M169" s="110"/>
      <c r="N169" s="110"/>
      <c r="O169" s="110"/>
      <c r="P169" s="110"/>
      <c r="Q169" s="110"/>
      <c r="R169" s="110"/>
      <c r="S169" s="110"/>
      <c r="T169" s="112"/>
      <c r="U169" s="5"/>
      <c r="V169" s="5"/>
      <c r="W169" s="5"/>
      <c r="X169" s="5"/>
      <c r="Y169" s="5"/>
      <c r="Z169" s="5"/>
      <c r="AA169" s="112"/>
      <c r="AB169" s="5"/>
      <c r="AC169" s="5"/>
    </row>
    <row r="170" ht="18.0" customHeight="1">
      <c r="A170" s="109"/>
      <c r="B170" s="110"/>
      <c r="C170" s="111"/>
      <c r="D170" s="112"/>
      <c r="E170" s="113"/>
      <c r="F170" s="114"/>
      <c r="G170" s="114"/>
      <c r="H170" s="113"/>
      <c r="I170" s="114"/>
      <c r="J170" s="114"/>
      <c r="K170" s="114"/>
      <c r="L170" s="110"/>
      <c r="M170" s="110"/>
      <c r="N170" s="110"/>
      <c r="O170" s="110"/>
      <c r="P170" s="110"/>
      <c r="Q170" s="110"/>
      <c r="R170" s="110"/>
      <c r="S170" s="110"/>
      <c r="T170" s="112"/>
      <c r="U170" s="5"/>
      <c r="V170" s="5"/>
      <c r="W170" s="5"/>
      <c r="X170" s="5"/>
      <c r="Y170" s="5"/>
      <c r="Z170" s="5"/>
      <c r="AA170" s="112"/>
      <c r="AB170" s="5"/>
      <c r="AC170" s="5"/>
    </row>
    <row r="171" ht="18.0" customHeight="1">
      <c r="A171" s="109"/>
      <c r="B171" s="110"/>
      <c r="C171" s="111"/>
      <c r="D171" s="112"/>
      <c r="E171" s="113"/>
      <c r="F171" s="114"/>
      <c r="G171" s="114"/>
      <c r="H171" s="113"/>
      <c r="I171" s="114"/>
      <c r="J171" s="114"/>
      <c r="K171" s="114"/>
      <c r="L171" s="110"/>
      <c r="M171" s="110"/>
      <c r="N171" s="110"/>
      <c r="O171" s="110"/>
      <c r="P171" s="110"/>
      <c r="Q171" s="110"/>
      <c r="R171" s="110"/>
      <c r="S171" s="110"/>
      <c r="T171" s="112"/>
      <c r="U171" s="5"/>
      <c r="V171" s="5"/>
      <c r="W171" s="5"/>
      <c r="X171" s="5"/>
      <c r="Y171" s="5"/>
      <c r="Z171" s="5"/>
      <c r="AA171" s="112"/>
      <c r="AB171" s="5"/>
      <c r="AC171" s="5"/>
    </row>
    <row r="172" ht="18.0" customHeight="1">
      <c r="A172" s="109"/>
      <c r="B172" s="110"/>
      <c r="C172" s="111"/>
      <c r="D172" s="112"/>
      <c r="E172" s="113"/>
      <c r="F172" s="114"/>
      <c r="G172" s="114"/>
      <c r="H172" s="113"/>
      <c r="I172" s="114"/>
      <c r="J172" s="114"/>
      <c r="K172" s="114"/>
      <c r="L172" s="110"/>
      <c r="M172" s="110"/>
      <c r="N172" s="110"/>
      <c r="O172" s="110"/>
      <c r="P172" s="110"/>
      <c r="Q172" s="110"/>
      <c r="R172" s="110"/>
      <c r="S172" s="110"/>
      <c r="T172" s="112"/>
      <c r="U172" s="5"/>
      <c r="V172" s="5"/>
      <c r="W172" s="5"/>
      <c r="X172" s="5"/>
      <c r="Y172" s="5"/>
      <c r="Z172" s="5"/>
      <c r="AA172" s="112"/>
      <c r="AB172" s="5"/>
      <c r="AC172" s="5"/>
    </row>
    <row r="173" ht="18.0" customHeight="1">
      <c r="A173" s="109"/>
      <c r="B173" s="110"/>
      <c r="C173" s="111"/>
      <c r="D173" s="112"/>
      <c r="E173" s="113"/>
      <c r="F173" s="114"/>
      <c r="G173" s="114"/>
      <c r="H173" s="113"/>
      <c r="I173" s="114"/>
      <c r="J173" s="114"/>
      <c r="K173" s="114"/>
      <c r="L173" s="110"/>
      <c r="M173" s="110"/>
      <c r="N173" s="110"/>
      <c r="O173" s="110"/>
      <c r="P173" s="110"/>
      <c r="Q173" s="110"/>
      <c r="R173" s="110"/>
      <c r="S173" s="110"/>
      <c r="T173" s="112"/>
      <c r="U173" s="5"/>
      <c r="V173" s="5"/>
      <c r="W173" s="5"/>
      <c r="X173" s="5"/>
      <c r="Y173" s="5"/>
      <c r="Z173" s="5"/>
      <c r="AA173" s="112"/>
      <c r="AB173" s="5"/>
      <c r="AC173" s="5"/>
    </row>
    <row r="174" ht="18.0" customHeight="1">
      <c r="A174" s="109"/>
      <c r="B174" s="110"/>
      <c r="C174" s="111"/>
      <c r="D174" s="112"/>
      <c r="E174" s="113"/>
      <c r="F174" s="114"/>
      <c r="G174" s="114"/>
      <c r="H174" s="113"/>
      <c r="I174" s="114"/>
      <c r="J174" s="114"/>
      <c r="K174" s="114"/>
      <c r="L174" s="110"/>
      <c r="M174" s="110"/>
      <c r="N174" s="110"/>
      <c r="O174" s="110"/>
      <c r="P174" s="110"/>
      <c r="Q174" s="110"/>
      <c r="R174" s="110"/>
      <c r="S174" s="110"/>
      <c r="T174" s="112"/>
      <c r="U174" s="5"/>
      <c r="V174" s="5"/>
      <c r="W174" s="5"/>
      <c r="X174" s="5"/>
      <c r="Y174" s="5"/>
      <c r="Z174" s="5"/>
      <c r="AA174" s="112"/>
      <c r="AB174" s="5"/>
      <c r="AC174" s="5"/>
    </row>
    <row r="175" ht="18.0" customHeight="1">
      <c r="A175" s="109"/>
      <c r="B175" s="110"/>
      <c r="C175" s="111"/>
      <c r="D175" s="112"/>
      <c r="E175" s="113"/>
      <c r="F175" s="114"/>
      <c r="G175" s="114"/>
      <c r="H175" s="113"/>
      <c r="I175" s="114"/>
      <c r="J175" s="114"/>
      <c r="K175" s="114"/>
      <c r="L175" s="110"/>
      <c r="M175" s="110"/>
      <c r="N175" s="110"/>
      <c r="O175" s="110"/>
      <c r="P175" s="110"/>
      <c r="Q175" s="110"/>
      <c r="R175" s="110"/>
      <c r="S175" s="110"/>
      <c r="T175" s="112"/>
      <c r="U175" s="5"/>
      <c r="V175" s="5"/>
      <c r="W175" s="5"/>
      <c r="X175" s="5"/>
      <c r="Y175" s="5"/>
      <c r="Z175" s="5"/>
      <c r="AA175" s="112"/>
      <c r="AB175" s="5"/>
      <c r="AC175" s="5"/>
    </row>
    <row r="176" ht="18.0" customHeight="1">
      <c r="A176" s="109"/>
      <c r="B176" s="110"/>
      <c r="C176" s="111"/>
      <c r="D176" s="112"/>
      <c r="E176" s="113"/>
      <c r="F176" s="114"/>
      <c r="G176" s="114"/>
      <c r="H176" s="113"/>
      <c r="I176" s="114"/>
      <c r="J176" s="114"/>
      <c r="K176" s="114"/>
      <c r="L176" s="110"/>
      <c r="M176" s="110"/>
      <c r="N176" s="110"/>
      <c r="O176" s="110"/>
      <c r="P176" s="110"/>
      <c r="Q176" s="110"/>
      <c r="R176" s="110"/>
      <c r="S176" s="110"/>
      <c r="T176" s="112"/>
      <c r="U176" s="5"/>
      <c r="V176" s="5"/>
      <c r="W176" s="5"/>
      <c r="X176" s="5"/>
      <c r="Y176" s="5"/>
      <c r="Z176" s="5"/>
      <c r="AA176" s="112"/>
      <c r="AB176" s="5"/>
      <c r="AC176" s="5"/>
    </row>
    <row r="177" ht="18.0" customHeight="1">
      <c r="A177" s="109"/>
      <c r="B177" s="110"/>
      <c r="C177" s="111"/>
      <c r="D177" s="112"/>
      <c r="E177" s="113"/>
      <c r="F177" s="114"/>
      <c r="G177" s="114"/>
      <c r="H177" s="113"/>
      <c r="I177" s="114"/>
      <c r="J177" s="114"/>
      <c r="K177" s="114"/>
      <c r="L177" s="110"/>
      <c r="M177" s="110"/>
      <c r="N177" s="110"/>
      <c r="O177" s="110"/>
      <c r="P177" s="110"/>
      <c r="Q177" s="110"/>
      <c r="R177" s="110"/>
      <c r="S177" s="110"/>
      <c r="T177" s="112"/>
      <c r="U177" s="5"/>
      <c r="V177" s="5"/>
      <c r="W177" s="5"/>
      <c r="X177" s="5"/>
      <c r="Y177" s="5"/>
      <c r="Z177" s="5"/>
      <c r="AA177" s="112"/>
      <c r="AB177" s="5"/>
      <c r="AC177" s="5"/>
    </row>
    <row r="178" ht="18.0" customHeight="1">
      <c r="A178" s="109"/>
      <c r="B178" s="110"/>
      <c r="C178" s="111"/>
      <c r="D178" s="112"/>
      <c r="E178" s="113"/>
      <c r="F178" s="114"/>
      <c r="G178" s="114"/>
      <c r="H178" s="113"/>
      <c r="I178" s="114"/>
      <c r="J178" s="114"/>
      <c r="K178" s="114"/>
      <c r="L178" s="110"/>
      <c r="M178" s="110"/>
      <c r="N178" s="110"/>
      <c r="O178" s="110"/>
      <c r="P178" s="110"/>
      <c r="Q178" s="110"/>
      <c r="R178" s="110"/>
      <c r="S178" s="110"/>
      <c r="T178" s="112"/>
      <c r="U178" s="5"/>
      <c r="V178" s="5"/>
      <c r="W178" s="5"/>
      <c r="X178" s="5"/>
      <c r="Y178" s="5"/>
      <c r="Z178" s="5"/>
      <c r="AA178" s="112"/>
      <c r="AB178" s="5"/>
      <c r="AC178" s="5"/>
    </row>
    <row r="179" ht="18.0" customHeight="1">
      <c r="A179" s="109"/>
      <c r="B179" s="110"/>
      <c r="C179" s="111"/>
      <c r="D179" s="112"/>
      <c r="E179" s="113"/>
      <c r="F179" s="114"/>
      <c r="G179" s="114"/>
      <c r="H179" s="113"/>
      <c r="I179" s="114"/>
      <c r="J179" s="114"/>
      <c r="K179" s="114"/>
      <c r="L179" s="110"/>
      <c r="M179" s="110"/>
      <c r="N179" s="110"/>
      <c r="O179" s="110"/>
      <c r="P179" s="110"/>
      <c r="Q179" s="110"/>
      <c r="R179" s="110"/>
      <c r="S179" s="110"/>
      <c r="T179" s="112"/>
      <c r="U179" s="5"/>
      <c r="V179" s="5"/>
      <c r="W179" s="5"/>
      <c r="X179" s="5"/>
      <c r="Y179" s="5"/>
      <c r="Z179" s="5"/>
      <c r="AA179" s="112"/>
      <c r="AB179" s="5"/>
      <c r="AC179" s="5"/>
    </row>
    <row r="180" ht="18.0" customHeight="1">
      <c r="A180" s="109"/>
      <c r="B180" s="110"/>
      <c r="C180" s="111"/>
      <c r="D180" s="112"/>
      <c r="E180" s="113"/>
      <c r="F180" s="114"/>
      <c r="G180" s="114"/>
      <c r="H180" s="113"/>
      <c r="I180" s="114"/>
      <c r="J180" s="114"/>
      <c r="K180" s="114"/>
      <c r="L180" s="110"/>
      <c r="M180" s="110"/>
      <c r="N180" s="110"/>
      <c r="O180" s="110"/>
      <c r="P180" s="110"/>
      <c r="Q180" s="110"/>
      <c r="R180" s="110"/>
      <c r="S180" s="110"/>
      <c r="T180" s="112"/>
      <c r="U180" s="5"/>
      <c r="V180" s="5"/>
      <c r="W180" s="5"/>
      <c r="X180" s="5"/>
      <c r="Y180" s="5"/>
      <c r="Z180" s="5"/>
      <c r="AA180" s="112"/>
      <c r="AB180" s="5"/>
      <c r="AC180" s="5"/>
    </row>
    <row r="181" ht="18.0" customHeight="1">
      <c r="A181" s="109"/>
      <c r="B181" s="110"/>
      <c r="C181" s="111"/>
      <c r="D181" s="112"/>
      <c r="E181" s="113"/>
      <c r="F181" s="114"/>
      <c r="G181" s="114"/>
      <c r="H181" s="113"/>
      <c r="I181" s="114"/>
      <c r="J181" s="114"/>
      <c r="K181" s="114"/>
      <c r="L181" s="110"/>
      <c r="M181" s="110"/>
      <c r="N181" s="110"/>
      <c r="O181" s="110"/>
      <c r="P181" s="110"/>
      <c r="Q181" s="110"/>
      <c r="R181" s="110"/>
      <c r="S181" s="110"/>
      <c r="T181" s="112"/>
      <c r="U181" s="5"/>
      <c r="V181" s="5"/>
      <c r="W181" s="5"/>
      <c r="X181" s="5"/>
      <c r="Y181" s="5"/>
      <c r="Z181" s="5"/>
      <c r="AA181" s="112"/>
      <c r="AB181" s="5"/>
      <c r="AC181" s="5"/>
    </row>
    <row r="182" ht="18.0" customHeight="1">
      <c r="A182" s="109"/>
      <c r="B182" s="110"/>
      <c r="C182" s="111"/>
      <c r="D182" s="112"/>
      <c r="E182" s="113"/>
      <c r="F182" s="114"/>
      <c r="G182" s="114"/>
      <c r="H182" s="113"/>
      <c r="I182" s="114"/>
      <c r="J182" s="114"/>
      <c r="K182" s="114"/>
      <c r="L182" s="110"/>
      <c r="M182" s="110"/>
      <c r="N182" s="110"/>
      <c r="O182" s="110"/>
      <c r="P182" s="110"/>
      <c r="Q182" s="110"/>
      <c r="R182" s="110"/>
      <c r="S182" s="110"/>
      <c r="T182" s="112"/>
      <c r="U182" s="5"/>
      <c r="V182" s="5"/>
      <c r="W182" s="5"/>
      <c r="X182" s="5"/>
      <c r="Y182" s="5"/>
      <c r="Z182" s="5"/>
      <c r="AA182" s="112"/>
      <c r="AB182" s="5"/>
      <c r="AC182" s="5"/>
    </row>
    <row r="183" ht="18.0" customHeight="1">
      <c r="A183" s="109"/>
      <c r="B183" s="110"/>
      <c r="C183" s="111"/>
      <c r="D183" s="112"/>
      <c r="E183" s="113"/>
      <c r="F183" s="114"/>
      <c r="G183" s="114"/>
      <c r="H183" s="113"/>
      <c r="I183" s="114"/>
      <c r="J183" s="114"/>
      <c r="K183" s="114"/>
      <c r="L183" s="110"/>
      <c r="M183" s="110"/>
      <c r="N183" s="110"/>
      <c r="O183" s="110"/>
      <c r="P183" s="110"/>
      <c r="Q183" s="110"/>
      <c r="R183" s="110"/>
      <c r="S183" s="110"/>
      <c r="T183" s="112"/>
      <c r="U183" s="5"/>
      <c r="V183" s="5"/>
      <c r="W183" s="5"/>
      <c r="X183" s="5"/>
      <c r="Y183" s="5"/>
      <c r="Z183" s="5"/>
      <c r="AA183" s="112"/>
      <c r="AB183" s="5"/>
      <c r="AC183" s="5"/>
    </row>
    <row r="184" ht="18.0" customHeight="1">
      <c r="A184" s="109"/>
      <c r="B184" s="110"/>
      <c r="C184" s="111"/>
      <c r="D184" s="112"/>
      <c r="E184" s="113"/>
      <c r="F184" s="114"/>
      <c r="G184" s="114"/>
      <c r="H184" s="113"/>
      <c r="I184" s="114"/>
      <c r="J184" s="114"/>
      <c r="K184" s="114"/>
      <c r="L184" s="110"/>
      <c r="M184" s="110"/>
      <c r="N184" s="110"/>
      <c r="O184" s="110"/>
      <c r="P184" s="110"/>
      <c r="Q184" s="110"/>
      <c r="R184" s="110"/>
      <c r="S184" s="110"/>
      <c r="T184" s="112"/>
      <c r="U184" s="5"/>
      <c r="V184" s="5"/>
      <c r="W184" s="5"/>
      <c r="X184" s="5"/>
      <c r="Y184" s="5"/>
      <c r="Z184" s="5"/>
      <c r="AA184" s="112"/>
      <c r="AB184" s="5"/>
      <c r="AC184" s="5"/>
    </row>
    <row r="185" ht="18.0" customHeight="1">
      <c r="A185" s="109"/>
      <c r="B185" s="110"/>
      <c r="C185" s="111"/>
      <c r="D185" s="112"/>
      <c r="E185" s="113"/>
      <c r="F185" s="114"/>
      <c r="G185" s="114"/>
      <c r="H185" s="113"/>
      <c r="I185" s="114"/>
      <c r="J185" s="114"/>
      <c r="K185" s="114"/>
      <c r="L185" s="110"/>
      <c r="M185" s="110"/>
      <c r="N185" s="110"/>
      <c r="O185" s="110"/>
      <c r="P185" s="110"/>
      <c r="Q185" s="110"/>
      <c r="R185" s="110"/>
      <c r="S185" s="110"/>
      <c r="T185" s="112"/>
      <c r="U185" s="5"/>
      <c r="V185" s="5"/>
      <c r="W185" s="5"/>
      <c r="X185" s="5"/>
      <c r="Y185" s="5"/>
      <c r="Z185" s="5"/>
      <c r="AA185" s="112"/>
      <c r="AB185" s="5"/>
      <c r="AC185" s="5"/>
    </row>
    <row r="186" ht="18.0" customHeight="1">
      <c r="A186" s="109"/>
      <c r="B186" s="110"/>
      <c r="C186" s="111"/>
      <c r="D186" s="112"/>
      <c r="E186" s="113"/>
      <c r="F186" s="114"/>
      <c r="G186" s="114"/>
      <c r="H186" s="113"/>
      <c r="I186" s="114"/>
      <c r="J186" s="114"/>
      <c r="K186" s="114"/>
      <c r="L186" s="110"/>
      <c r="M186" s="110"/>
      <c r="N186" s="110"/>
      <c r="O186" s="110"/>
      <c r="P186" s="110"/>
      <c r="Q186" s="110"/>
      <c r="R186" s="110"/>
      <c r="S186" s="110"/>
      <c r="T186" s="112"/>
      <c r="U186" s="5"/>
      <c r="V186" s="5"/>
      <c r="W186" s="5"/>
      <c r="X186" s="5"/>
      <c r="Y186" s="5"/>
      <c r="Z186" s="5"/>
      <c r="AA186" s="112"/>
      <c r="AB186" s="5"/>
      <c r="AC186" s="5"/>
    </row>
    <row r="187" ht="18.0" customHeight="1">
      <c r="A187" s="109"/>
      <c r="B187" s="110"/>
      <c r="C187" s="111"/>
      <c r="D187" s="112"/>
      <c r="E187" s="113"/>
      <c r="F187" s="114"/>
      <c r="G187" s="114"/>
      <c r="H187" s="113"/>
      <c r="I187" s="114"/>
      <c r="J187" s="114"/>
      <c r="K187" s="114"/>
      <c r="L187" s="110"/>
      <c r="M187" s="110"/>
      <c r="N187" s="110"/>
      <c r="O187" s="110"/>
      <c r="P187" s="110"/>
      <c r="Q187" s="110"/>
      <c r="R187" s="110"/>
      <c r="S187" s="110"/>
      <c r="T187" s="112"/>
      <c r="U187" s="5"/>
      <c r="V187" s="5"/>
      <c r="W187" s="5"/>
      <c r="X187" s="5"/>
      <c r="Y187" s="5"/>
      <c r="Z187" s="5"/>
      <c r="AA187" s="112"/>
      <c r="AB187" s="5"/>
      <c r="AC187" s="5"/>
    </row>
    <row r="188" ht="18.0" customHeight="1">
      <c r="A188" s="109"/>
      <c r="B188" s="110"/>
      <c r="C188" s="111"/>
      <c r="D188" s="112"/>
      <c r="E188" s="113"/>
      <c r="F188" s="114"/>
      <c r="G188" s="114"/>
      <c r="H188" s="113"/>
      <c r="I188" s="114"/>
      <c r="J188" s="114"/>
      <c r="K188" s="114"/>
      <c r="L188" s="110"/>
      <c r="M188" s="110"/>
      <c r="N188" s="110"/>
      <c r="O188" s="110"/>
      <c r="P188" s="110"/>
      <c r="Q188" s="110"/>
      <c r="R188" s="110"/>
      <c r="S188" s="110"/>
      <c r="T188" s="112"/>
      <c r="U188" s="5"/>
      <c r="V188" s="5"/>
      <c r="W188" s="5"/>
      <c r="X188" s="5"/>
      <c r="Y188" s="5"/>
      <c r="Z188" s="5"/>
      <c r="AA188" s="112"/>
      <c r="AB188" s="5"/>
      <c r="AC188" s="5"/>
    </row>
    <row r="189" ht="18.0" customHeight="1">
      <c r="A189" s="109"/>
      <c r="B189" s="110"/>
      <c r="C189" s="111"/>
      <c r="D189" s="112"/>
      <c r="E189" s="113"/>
      <c r="F189" s="114"/>
      <c r="G189" s="114"/>
      <c r="H189" s="113"/>
      <c r="I189" s="114"/>
      <c r="J189" s="114"/>
      <c r="K189" s="114"/>
      <c r="L189" s="110"/>
      <c r="M189" s="110"/>
      <c r="N189" s="110"/>
      <c r="O189" s="110"/>
      <c r="P189" s="110"/>
      <c r="Q189" s="110"/>
      <c r="R189" s="110"/>
      <c r="S189" s="110"/>
      <c r="T189" s="112"/>
      <c r="U189" s="5"/>
      <c r="V189" s="5"/>
      <c r="W189" s="5"/>
      <c r="X189" s="5"/>
      <c r="Y189" s="5"/>
      <c r="Z189" s="5"/>
      <c r="AA189" s="112"/>
      <c r="AB189" s="5"/>
      <c r="AC189" s="5"/>
    </row>
    <row r="190" ht="18.0" customHeight="1">
      <c r="A190" s="109"/>
      <c r="B190" s="110"/>
      <c r="C190" s="111"/>
      <c r="D190" s="112"/>
      <c r="E190" s="113"/>
      <c r="F190" s="114"/>
      <c r="G190" s="114"/>
      <c r="H190" s="113"/>
      <c r="I190" s="114"/>
      <c r="J190" s="114"/>
      <c r="K190" s="114"/>
      <c r="L190" s="110"/>
      <c r="M190" s="110"/>
      <c r="N190" s="110"/>
      <c r="O190" s="110"/>
      <c r="P190" s="110"/>
      <c r="Q190" s="110"/>
      <c r="R190" s="110"/>
      <c r="S190" s="110"/>
      <c r="T190" s="112"/>
      <c r="U190" s="5"/>
      <c r="V190" s="5"/>
      <c r="W190" s="5"/>
      <c r="X190" s="5"/>
      <c r="Y190" s="5"/>
      <c r="Z190" s="5"/>
      <c r="AA190" s="112"/>
      <c r="AB190" s="5"/>
      <c r="AC190" s="5"/>
    </row>
    <row r="191" ht="18.0" customHeight="1">
      <c r="A191" s="109"/>
      <c r="B191" s="110"/>
      <c r="C191" s="111"/>
      <c r="D191" s="112"/>
      <c r="E191" s="113"/>
      <c r="F191" s="114"/>
      <c r="G191" s="114"/>
      <c r="H191" s="113"/>
      <c r="I191" s="114"/>
      <c r="J191" s="114"/>
      <c r="K191" s="114"/>
      <c r="L191" s="110"/>
      <c r="M191" s="110"/>
      <c r="N191" s="110"/>
      <c r="O191" s="110"/>
      <c r="P191" s="110"/>
      <c r="Q191" s="110"/>
      <c r="R191" s="110"/>
      <c r="S191" s="110"/>
      <c r="T191" s="112"/>
      <c r="U191" s="5"/>
      <c r="V191" s="5"/>
      <c r="W191" s="5"/>
      <c r="X191" s="5"/>
      <c r="Y191" s="5"/>
      <c r="Z191" s="5"/>
      <c r="AA191" s="112"/>
      <c r="AB191" s="5"/>
      <c r="AC191" s="5"/>
    </row>
    <row r="192" ht="18.0" customHeight="1">
      <c r="A192" s="109"/>
      <c r="B192" s="110"/>
      <c r="C192" s="111"/>
      <c r="D192" s="112"/>
      <c r="E192" s="113"/>
      <c r="F192" s="114"/>
      <c r="G192" s="114"/>
      <c r="H192" s="113"/>
      <c r="I192" s="114"/>
      <c r="J192" s="114"/>
      <c r="K192" s="114"/>
      <c r="L192" s="110"/>
      <c r="M192" s="110"/>
      <c r="N192" s="110"/>
      <c r="O192" s="110"/>
      <c r="P192" s="110"/>
      <c r="Q192" s="110"/>
      <c r="R192" s="110"/>
      <c r="S192" s="110"/>
      <c r="T192" s="112"/>
      <c r="U192" s="5"/>
      <c r="V192" s="5"/>
      <c r="W192" s="5"/>
      <c r="X192" s="5"/>
      <c r="Y192" s="5"/>
      <c r="Z192" s="5"/>
      <c r="AA192" s="112"/>
      <c r="AB192" s="5"/>
      <c r="AC192" s="5"/>
    </row>
    <row r="193" ht="18.0" customHeight="1">
      <c r="A193" s="109"/>
      <c r="B193" s="110"/>
      <c r="C193" s="111"/>
      <c r="D193" s="112"/>
      <c r="E193" s="113"/>
      <c r="F193" s="114"/>
      <c r="G193" s="114"/>
      <c r="H193" s="113"/>
      <c r="I193" s="114"/>
      <c r="J193" s="114"/>
      <c r="K193" s="114"/>
      <c r="L193" s="110"/>
      <c r="M193" s="110"/>
      <c r="N193" s="110"/>
      <c r="O193" s="110"/>
      <c r="P193" s="110"/>
      <c r="Q193" s="110"/>
      <c r="R193" s="110"/>
      <c r="S193" s="110"/>
      <c r="T193" s="112"/>
      <c r="U193" s="5"/>
      <c r="V193" s="5"/>
      <c r="W193" s="5"/>
      <c r="X193" s="5"/>
      <c r="Y193" s="5"/>
      <c r="Z193" s="5"/>
      <c r="AA193" s="112"/>
      <c r="AB193" s="5"/>
      <c r="AC193" s="5"/>
    </row>
    <row r="194" ht="18.0" customHeight="1">
      <c r="A194" s="109"/>
      <c r="B194" s="110"/>
      <c r="C194" s="111"/>
      <c r="D194" s="112"/>
      <c r="E194" s="113"/>
      <c r="F194" s="114"/>
      <c r="G194" s="114"/>
      <c r="H194" s="113"/>
      <c r="I194" s="114"/>
      <c r="J194" s="114"/>
      <c r="K194" s="114"/>
      <c r="L194" s="110"/>
      <c r="M194" s="110"/>
      <c r="N194" s="110"/>
      <c r="O194" s="110"/>
      <c r="P194" s="110"/>
      <c r="Q194" s="110"/>
      <c r="R194" s="110"/>
      <c r="S194" s="110"/>
      <c r="T194" s="112"/>
      <c r="U194" s="5"/>
      <c r="V194" s="5"/>
      <c r="W194" s="5"/>
      <c r="X194" s="5"/>
      <c r="Y194" s="5"/>
      <c r="Z194" s="5"/>
      <c r="AA194" s="112"/>
      <c r="AB194" s="5"/>
      <c r="AC194" s="5"/>
    </row>
    <row r="195" ht="18.0" customHeight="1">
      <c r="A195" s="109"/>
      <c r="B195" s="110"/>
      <c r="C195" s="111"/>
      <c r="D195" s="112"/>
      <c r="E195" s="113"/>
      <c r="F195" s="114"/>
      <c r="G195" s="114"/>
      <c r="H195" s="113"/>
      <c r="I195" s="114"/>
      <c r="J195" s="114"/>
      <c r="K195" s="114"/>
      <c r="L195" s="110"/>
      <c r="M195" s="110"/>
      <c r="N195" s="110"/>
      <c r="O195" s="110"/>
      <c r="P195" s="110"/>
      <c r="Q195" s="110"/>
      <c r="R195" s="110"/>
      <c r="S195" s="110"/>
      <c r="T195" s="112"/>
      <c r="U195" s="5"/>
      <c r="V195" s="5"/>
      <c r="W195" s="5"/>
      <c r="X195" s="5"/>
      <c r="Y195" s="5"/>
      <c r="Z195" s="5"/>
      <c r="AA195" s="112"/>
      <c r="AB195" s="5"/>
      <c r="AC195" s="5"/>
    </row>
    <row r="196" ht="18.0" customHeight="1">
      <c r="A196" s="109"/>
      <c r="B196" s="110"/>
      <c r="C196" s="111"/>
      <c r="D196" s="112"/>
      <c r="E196" s="113"/>
      <c r="F196" s="114"/>
      <c r="G196" s="114"/>
      <c r="H196" s="113"/>
      <c r="I196" s="114"/>
      <c r="J196" s="114"/>
      <c r="K196" s="114"/>
      <c r="L196" s="110"/>
      <c r="M196" s="110"/>
      <c r="N196" s="110"/>
      <c r="O196" s="110"/>
      <c r="P196" s="110"/>
      <c r="Q196" s="110"/>
      <c r="R196" s="110"/>
      <c r="S196" s="110"/>
      <c r="T196" s="112"/>
      <c r="U196" s="5"/>
      <c r="V196" s="5"/>
      <c r="W196" s="5"/>
      <c r="X196" s="5"/>
      <c r="Y196" s="5"/>
      <c r="Z196" s="5"/>
      <c r="AA196" s="112"/>
      <c r="AB196" s="5"/>
      <c r="AC196" s="5"/>
    </row>
    <row r="197" ht="18.0" customHeight="1">
      <c r="A197" s="109"/>
      <c r="B197" s="110"/>
      <c r="C197" s="111"/>
      <c r="D197" s="112"/>
      <c r="E197" s="113"/>
      <c r="F197" s="114"/>
      <c r="G197" s="114"/>
      <c r="H197" s="113"/>
      <c r="I197" s="114"/>
      <c r="J197" s="114"/>
      <c r="K197" s="114"/>
      <c r="L197" s="110"/>
      <c r="M197" s="110"/>
      <c r="N197" s="110"/>
      <c r="O197" s="110"/>
      <c r="P197" s="110"/>
      <c r="Q197" s="110"/>
      <c r="R197" s="110"/>
      <c r="S197" s="110"/>
      <c r="T197" s="112"/>
      <c r="U197" s="5"/>
      <c r="V197" s="5"/>
      <c r="W197" s="5"/>
      <c r="X197" s="5"/>
      <c r="Y197" s="5"/>
      <c r="Z197" s="5"/>
      <c r="AA197" s="112"/>
      <c r="AB197" s="5"/>
      <c r="AC197" s="5"/>
    </row>
    <row r="198" ht="18.0" customHeight="1">
      <c r="A198" s="109"/>
      <c r="B198" s="110"/>
      <c r="C198" s="111"/>
      <c r="D198" s="112"/>
      <c r="E198" s="113"/>
      <c r="F198" s="114"/>
      <c r="G198" s="114"/>
      <c r="H198" s="113"/>
      <c r="I198" s="114"/>
      <c r="J198" s="114"/>
      <c r="K198" s="114"/>
      <c r="L198" s="110"/>
      <c r="M198" s="110"/>
      <c r="N198" s="110"/>
      <c r="O198" s="110"/>
      <c r="P198" s="110"/>
      <c r="Q198" s="110"/>
      <c r="R198" s="110"/>
      <c r="S198" s="110"/>
      <c r="T198" s="112"/>
      <c r="U198" s="5"/>
      <c r="V198" s="5"/>
      <c r="W198" s="5"/>
      <c r="X198" s="5"/>
      <c r="Y198" s="5"/>
      <c r="Z198" s="5"/>
      <c r="AA198" s="112"/>
      <c r="AB198" s="5"/>
      <c r="AC198" s="5"/>
    </row>
    <row r="199" ht="18.0" customHeight="1">
      <c r="A199" s="109"/>
      <c r="B199" s="110"/>
      <c r="C199" s="111"/>
      <c r="D199" s="112"/>
      <c r="E199" s="113"/>
      <c r="F199" s="114"/>
      <c r="G199" s="114"/>
      <c r="H199" s="113"/>
      <c r="I199" s="114"/>
      <c r="J199" s="114"/>
      <c r="K199" s="114"/>
      <c r="L199" s="110"/>
      <c r="M199" s="110"/>
      <c r="N199" s="110"/>
      <c r="O199" s="110"/>
      <c r="P199" s="110"/>
      <c r="Q199" s="110"/>
      <c r="R199" s="110"/>
      <c r="S199" s="110"/>
      <c r="T199" s="112"/>
      <c r="U199" s="5"/>
      <c r="V199" s="5"/>
      <c r="W199" s="5"/>
      <c r="X199" s="5"/>
      <c r="Y199" s="5"/>
      <c r="Z199" s="5"/>
      <c r="AA199" s="112"/>
      <c r="AB199" s="5"/>
      <c r="AC199" s="5"/>
    </row>
    <row r="200" ht="18.0" customHeight="1">
      <c r="A200" s="109"/>
      <c r="B200" s="110"/>
      <c r="C200" s="111"/>
      <c r="D200" s="112"/>
      <c r="E200" s="113"/>
      <c r="F200" s="114"/>
      <c r="G200" s="114"/>
      <c r="H200" s="113"/>
      <c r="I200" s="114"/>
      <c r="J200" s="114"/>
      <c r="K200" s="114"/>
      <c r="L200" s="110"/>
      <c r="M200" s="110"/>
      <c r="N200" s="110"/>
      <c r="O200" s="110"/>
      <c r="P200" s="110"/>
      <c r="Q200" s="110"/>
      <c r="R200" s="110"/>
      <c r="S200" s="110"/>
      <c r="T200" s="112"/>
      <c r="U200" s="5"/>
      <c r="V200" s="5"/>
      <c r="W200" s="5"/>
      <c r="X200" s="5"/>
      <c r="Y200" s="5"/>
      <c r="Z200" s="5"/>
      <c r="AA200" s="112"/>
      <c r="AB200" s="5"/>
      <c r="AC200" s="5"/>
    </row>
    <row r="201" ht="18.0" customHeight="1">
      <c r="A201" s="109"/>
      <c r="B201" s="110"/>
      <c r="C201" s="111"/>
      <c r="D201" s="112"/>
      <c r="E201" s="113"/>
      <c r="F201" s="114"/>
      <c r="G201" s="114"/>
      <c r="H201" s="113"/>
      <c r="I201" s="114"/>
      <c r="J201" s="114"/>
      <c r="K201" s="114"/>
      <c r="L201" s="110"/>
      <c r="M201" s="110"/>
      <c r="N201" s="110"/>
      <c r="O201" s="110"/>
      <c r="P201" s="110"/>
      <c r="Q201" s="110"/>
      <c r="R201" s="110"/>
      <c r="S201" s="110"/>
      <c r="T201" s="112"/>
      <c r="U201" s="5"/>
      <c r="V201" s="5"/>
      <c r="W201" s="5"/>
      <c r="X201" s="5"/>
      <c r="Y201" s="5"/>
      <c r="Z201" s="5"/>
      <c r="AA201" s="112"/>
      <c r="AB201" s="5"/>
      <c r="AC201" s="5"/>
    </row>
    <row r="202" ht="18.0" customHeight="1">
      <c r="A202" s="109"/>
      <c r="B202" s="110"/>
      <c r="C202" s="111"/>
      <c r="D202" s="112"/>
      <c r="E202" s="113"/>
      <c r="F202" s="114"/>
      <c r="G202" s="114"/>
      <c r="H202" s="113"/>
      <c r="I202" s="114"/>
      <c r="J202" s="114"/>
      <c r="K202" s="114"/>
      <c r="L202" s="110"/>
      <c r="M202" s="110"/>
      <c r="N202" s="110"/>
      <c r="O202" s="110"/>
      <c r="P202" s="110"/>
      <c r="Q202" s="110"/>
      <c r="R202" s="110"/>
      <c r="S202" s="110"/>
      <c r="T202" s="112"/>
      <c r="U202" s="5"/>
      <c r="V202" s="5"/>
      <c r="W202" s="5"/>
      <c r="X202" s="5"/>
      <c r="Y202" s="5"/>
      <c r="Z202" s="5"/>
      <c r="AA202" s="112"/>
      <c r="AB202" s="5"/>
      <c r="AC202" s="5"/>
    </row>
    <row r="203" ht="18.0" customHeight="1">
      <c r="A203" s="109"/>
      <c r="B203" s="110"/>
      <c r="C203" s="111"/>
      <c r="D203" s="112"/>
      <c r="E203" s="113"/>
      <c r="F203" s="114"/>
      <c r="G203" s="114"/>
      <c r="H203" s="113"/>
      <c r="I203" s="114"/>
      <c r="J203" s="114"/>
      <c r="K203" s="114"/>
      <c r="L203" s="110"/>
      <c r="M203" s="110"/>
      <c r="N203" s="110"/>
      <c r="O203" s="110"/>
      <c r="P203" s="110"/>
      <c r="Q203" s="110"/>
      <c r="R203" s="110"/>
      <c r="S203" s="110"/>
      <c r="T203" s="112"/>
      <c r="U203" s="5"/>
      <c r="V203" s="5"/>
      <c r="W203" s="5"/>
      <c r="X203" s="5"/>
      <c r="Y203" s="5"/>
      <c r="Z203" s="5"/>
      <c r="AA203" s="112"/>
      <c r="AB203" s="5"/>
      <c r="AC203" s="5"/>
    </row>
    <row r="204" ht="18.0" customHeight="1">
      <c r="A204" s="109"/>
      <c r="B204" s="110"/>
      <c r="C204" s="111"/>
      <c r="D204" s="112"/>
      <c r="E204" s="113"/>
      <c r="F204" s="114"/>
      <c r="G204" s="114"/>
      <c r="H204" s="113"/>
      <c r="I204" s="114"/>
      <c r="J204" s="114"/>
      <c r="K204" s="114"/>
      <c r="L204" s="110"/>
      <c r="M204" s="110"/>
      <c r="N204" s="110"/>
      <c r="O204" s="110"/>
      <c r="P204" s="110"/>
      <c r="Q204" s="110"/>
      <c r="R204" s="110"/>
      <c r="S204" s="110"/>
      <c r="T204" s="112"/>
      <c r="U204" s="5"/>
      <c r="V204" s="5"/>
      <c r="W204" s="5"/>
      <c r="X204" s="5"/>
      <c r="Y204" s="5"/>
      <c r="Z204" s="5"/>
      <c r="AA204" s="112"/>
      <c r="AB204" s="5"/>
      <c r="AC204" s="5"/>
    </row>
    <row r="205" ht="18.0" customHeight="1">
      <c r="A205" s="109"/>
      <c r="B205" s="110"/>
      <c r="C205" s="111"/>
      <c r="D205" s="112"/>
      <c r="E205" s="113"/>
      <c r="F205" s="114"/>
      <c r="G205" s="114"/>
      <c r="H205" s="113"/>
      <c r="I205" s="114"/>
      <c r="J205" s="114"/>
      <c r="K205" s="114"/>
      <c r="L205" s="110"/>
      <c r="M205" s="110"/>
      <c r="N205" s="110"/>
      <c r="O205" s="110"/>
      <c r="P205" s="110"/>
      <c r="Q205" s="110"/>
      <c r="R205" s="110"/>
      <c r="S205" s="110"/>
      <c r="T205" s="112"/>
      <c r="U205" s="5"/>
      <c r="V205" s="5"/>
      <c r="W205" s="5"/>
      <c r="X205" s="5"/>
      <c r="Y205" s="5"/>
      <c r="Z205" s="5"/>
      <c r="AA205" s="112"/>
      <c r="AB205" s="5"/>
      <c r="AC205" s="5"/>
    </row>
    <row r="206" ht="18.0" customHeight="1">
      <c r="A206" s="109"/>
      <c r="B206" s="110"/>
      <c r="C206" s="111"/>
      <c r="D206" s="112"/>
      <c r="E206" s="113"/>
      <c r="F206" s="114"/>
      <c r="G206" s="114"/>
      <c r="H206" s="113"/>
      <c r="I206" s="114"/>
      <c r="J206" s="114"/>
      <c r="K206" s="114"/>
      <c r="L206" s="110"/>
      <c r="M206" s="110"/>
      <c r="N206" s="110"/>
      <c r="O206" s="110"/>
      <c r="P206" s="110"/>
      <c r="Q206" s="110"/>
      <c r="R206" s="110"/>
      <c r="S206" s="110"/>
      <c r="T206" s="112"/>
      <c r="U206" s="5"/>
      <c r="V206" s="5"/>
      <c r="W206" s="5"/>
      <c r="X206" s="5"/>
      <c r="Y206" s="5"/>
      <c r="Z206" s="5"/>
      <c r="AA206" s="112"/>
      <c r="AB206" s="5"/>
      <c r="AC206" s="5"/>
    </row>
    <row r="207" ht="18.0" customHeight="1">
      <c r="A207" s="109"/>
      <c r="B207" s="110"/>
      <c r="C207" s="111"/>
      <c r="D207" s="112"/>
      <c r="E207" s="113"/>
      <c r="F207" s="114"/>
      <c r="G207" s="114"/>
      <c r="H207" s="113"/>
      <c r="I207" s="114"/>
      <c r="J207" s="114"/>
      <c r="K207" s="114"/>
      <c r="L207" s="110"/>
      <c r="M207" s="110"/>
      <c r="N207" s="110"/>
      <c r="O207" s="110"/>
      <c r="P207" s="110"/>
      <c r="Q207" s="110"/>
      <c r="R207" s="110"/>
      <c r="S207" s="110"/>
      <c r="T207" s="112"/>
      <c r="U207" s="5"/>
      <c r="V207" s="5"/>
      <c r="W207" s="5"/>
      <c r="X207" s="5"/>
      <c r="Y207" s="5"/>
      <c r="Z207" s="5"/>
      <c r="AA207" s="112"/>
      <c r="AB207" s="5"/>
      <c r="AC207" s="5"/>
    </row>
    <row r="208" ht="18.0" customHeight="1">
      <c r="A208" s="109"/>
      <c r="B208" s="110"/>
      <c r="C208" s="111"/>
      <c r="D208" s="112"/>
      <c r="E208" s="113"/>
      <c r="F208" s="114"/>
      <c r="G208" s="114"/>
      <c r="H208" s="113"/>
      <c r="I208" s="114"/>
      <c r="J208" s="114"/>
      <c r="K208" s="114"/>
      <c r="L208" s="110"/>
      <c r="M208" s="110"/>
      <c r="N208" s="110"/>
      <c r="O208" s="110"/>
      <c r="P208" s="110"/>
      <c r="Q208" s="110"/>
      <c r="R208" s="110"/>
      <c r="S208" s="110"/>
      <c r="T208" s="112"/>
      <c r="U208" s="5"/>
      <c r="V208" s="5"/>
      <c r="W208" s="5"/>
      <c r="X208" s="5"/>
      <c r="Y208" s="5"/>
      <c r="Z208" s="5"/>
      <c r="AA208" s="112"/>
      <c r="AB208" s="5"/>
      <c r="AC208" s="5"/>
    </row>
    <row r="209" ht="18.0" customHeight="1">
      <c r="A209" s="109"/>
      <c r="B209" s="110"/>
      <c r="C209" s="111"/>
      <c r="D209" s="112"/>
      <c r="E209" s="113"/>
      <c r="F209" s="114"/>
      <c r="G209" s="114"/>
      <c r="H209" s="113"/>
      <c r="I209" s="114"/>
      <c r="J209" s="114"/>
      <c r="K209" s="114"/>
      <c r="L209" s="110"/>
      <c r="M209" s="110"/>
      <c r="N209" s="110"/>
      <c r="O209" s="110"/>
      <c r="P209" s="110"/>
      <c r="Q209" s="110"/>
      <c r="R209" s="110"/>
      <c r="S209" s="110"/>
      <c r="T209" s="112"/>
      <c r="U209" s="5"/>
      <c r="V209" s="5"/>
      <c r="W209" s="5"/>
      <c r="X209" s="5"/>
      <c r="Y209" s="5"/>
      <c r="Z209" s="5"/>
      <c r="AA209" s="112"/>
      <c r="AB209" s="5"/>
      <c r="AC209" s="5"/>
    </row>
    <row r="210" ht="18.0" customHeight="1">
      <c r="A210" s="109"/>
      <c r="B210" s="110"/>
      <c r="C210" s="111"/>
      <c r="D210" s="112"/>
      <c r="E210" s="113"/>
      <c r="F210" s="114"/>
      <c r="G210" s="114"/>
      <c r="H210" s="113"/>
      <c r="I210" s="114"/>
      <c r="J210" s="114"/>
      <c r="K210" s="114"/>
      <c r="L210" s="110"/>
      <c r="M210" s="110"/>
      <c r="N210" s="110"/>
      <c r="O210" s="110"/>
      <c r="P210" s="110"/>
      <c r="Q210" s="110"/>
      <c r="R210" s="110"/>
      <c r="S210" s="110"/>
      <c r="T210" s="112"/>
      <c r="U210" s="5"/>
      <c r="V210" s="5"/>
      <c r="W210" s="5"/>
      <c r="X210" s="5"/>
      <c r="Y210" s="5"/>
      <c r="Z210" s="5"/>
      <c r="AA210" s="112"/>
      <c r="AB210" s="5"/>
      <c r="AC210" s="5"/>
    </row>
    <row r="211" ht="18.0" customHeight="1">
      <c r="A211" s="109"/>
      <c r="B211" s="110"/>
      <c r="C211" s="111"/>
      <c r="D211" s="112"/>
      <c r="E211" s="113"/>
      <c r="F211" s="114"/>
      <c r="G211" s="114"/>
      <c r="H211" s="113"/>
      <c r="I211" s="114"/>
      <c r="J211" s="114"/>
      <c r="K211" s="114"/>
      <c r="L211" s="110"/>
      <c r="M211" s="110"/>
      <c r="N211" s="110"/>
      <c r="O211" s="110"/>
      <c r="P211" s="110"/>
      <c r="Q211" s="110"/>
      <c r="R211" s="110"/>
      <c r="S211" s="110"/>
      <c r="T211" s="112"/>
      <c r="U211" s="5"/>
      <c r="V211" s="5"/>
      <c r="W211" s="5"/>
      <c r="X211" s="5"/>
      <c r="Y211" s="5"/>
      <c r="Z211" s="5"/>
      <c r="AA211" s="112"/>
      <c r="AB211" s="5"/>
      <c r="AC211" s="5"/>
    </row>
    <row r="212" ht="18.0" customHeight="1">
      <c r="A212" s="109"/>
      <c r="B212" s="110"/>
      <c r="C212" s="111"/>
      <c r="D212" s="112"/>
      <c r="E212" s="113"/>
      <c r="F212" s="114"/>
      <c r="G212" s="114"/>
      <c r="H212" s="113"/>
      <c r="I212" s="114"/>
      <c r="J212" s="114"/>
      <c r="K212" s="114"/>
      <c r="L212" s="110"/>
      <c r="M212" s="110"/>
      <c r="N212" s="110"/>
      <c r="O212" s="110"/>
      <c r="P212" s="110"/>
      <c r="Q212" s="110"/>
      <c r="R212" s="110"/>
      <c r="S212" s="110"/>
      <c r="T212" s="112"/>
      <c r="U212" s="5"/>
      <c r="V212" s="5"/>
      <c r="W212" s="5"/>
      <c r="X212" s="5"/>
      <c r="Y212" s="5"/>
      <c r="Z212" s="5"/>
      <c r="AA212" s="112"/>
      <c r="AB212" s="5"/>
      <c r="AC212" s="5"/>
    </row>
    <row r="213" ht="18.0" customHeight="1">
      <c r="A213" s="109"/>
      <c r="B213" s="110"/>
      <c r="C213" s="111"/>
      <c r="D213" s="112"/>
      <c r="E213" s="113"/>
      <c r="F213" s="114"/>
      <c r="G213" s="114"/>
      <c r="H213" s="113"/>
      <c r="I213" s="114"/>
      <c r="J213" s="114"/>
      <c r="K213" s="114"/>
      <c r="L213" s="110"/>
      <c r="M213" s="110"/>
      <c r="N213" s="110"/>
      <c r="O213" s="110"/>
      <c r="P213" s="110"/>
      <c r="Q213" s="110"/>
      <c r="R213" s="110"/>
      <c r="S213" s="110"/>
      <c r="T213" s="112"/>
      <c r="U213" s="5"/>
      <c r="V213" s="5"/>
      <c r="W213" s="5"/>
      <c r="X213" s="5"/>
      <c r="Y213" s="5"/>
      <c r="Z213" s="5"/>
      <c r="AA213" s="112"/>
      <c r="AB213" s="5"/>
      <c r="AC213" s="5"/>
    </row>
    <row r="214" ht="18.0" customHeight="1">
      <c r="A214" s="109"/>
      <c r="B214" s="110"/>
      <c r="C214" s="111"/>
      <c r="D214" s="112"/>
      <c r="E214" s="113"/>
      <c r="F214" s="114"/>
      <c r="G214" s="114"/>
      <c r="H214" s="113"/>
      <c r="I214" s="114"/>
      <c r="J214" s="114"/>
      <c r="K214" s="114"/>
      <c r="L214" s="110"/>
      <c r="M214" s="110"/>
      <c r="N214" s="110"/>
      <c r="O214" s="110"/>
      <c r="P214" s="110"/>
      <c r="Q214" s="110"/>
      <c r="R214" s="110"/>
      <c r="S214" s="110"/>
      <c r="T214" s="112"/>
      <c r="U214" s="5"/>
      <c r="V214" s="5"/>
      <c r="W214" s="5"/>
      <c r="X214" s="5"/>
      <c r="Y214" s="5"/>
      <c r="Z214" s="5"/>
      <c r="AA214" s="112"/>
      <c r="AB214" s="5"/>
      <c r="AC214" s="5"/>
    </row>
    <row r="215" ht="18.0" customHeight="1">
      <c r="A215" s="109"/>
      <c r="B215" s="110"/>
      <c r="C215" s="111"/>
      <c r="D215" s="112"/>
      <c r="E215" s="113"/>
      <c r="F215" s="114"/>
      <c r="G215" s="114"/>
      <c r="H215" s="113"/>
      <c r="I215" s="114"/>
      <c r="J215" s="114"/>
      <c r="K215" s="114"/>
      <c r="L215" s="110"/>
      <c r="M215" s="110"/>
      <c r="N215" s="110"/>
      <c r="O215" s="110"/>
      <c r="P215" s="110"/>
      <c r="Q215" s="110"/>
      <c r="R215" s="110"/>
      <c r="S215" s="110"/>
      <c r="T215" s="112"/>
      <c r="U215" s="5"/>
      <c r="V215" s="5"/>
      <c r="W215" s="5"/>
      <c r="X215" s="5"/>
      <c r="Y215" s="5"/>
      <c r="Z215" s="5"/>
      <c r="AA215" s="112"/>
      <c r="AB215" s="5"/>
      <c r="AC215" s="5"/>
    </row>
    <row r="216" ht="18.0" customHeight="1">
      <c r="A216" s="109"/>
      <c r="B216" s="110"/>
      <c r="C216" s="111"/>
      <c r="D216" s="112"/>
      <c r="E216" s="113"/>
      <c r="F216" s="114"/>
      <c r="G216" s="114"/>
      <c r="H216" s="113"/>
      <c r="I216" s="114"/>
      <c r="J216" s="114"/>
      <c r="K216" s="114"/>
      <c r="L216" s="110"/>
      <c r="M216" s="110"/>
      <c r="N216" s="110"/>
      <c r="O216" s="110"/>
      <c r="P216" s="110"/>
      <c r="Q216" s="110"/>
      <c r="R216" s="110"/>
      <c r="S216" s="110"/>
      <c r="T216" s="112"/>
      <c r="U216" s="5"/>
      <c r="V216" s="5"/>
      <c r="W216" s="5"/>
      <c r="X216" s="5"/>
      <c r="Y216" s="5"/>
      <c r="Z216" s="5"/>
      <c r="AA216" s="112"/>
      <c r="AB216" s="5"/>
      <c r="AC216" s="5"/>
    </row>
    <row r="217" ht="18.0" customHeight="1">
      <c r="A217" s="109"/>
      <c r="B217" s="110"/>
      <c r="C217" s="111"/>
      <c r="D217" s="112"/>
      <c r="E217" s="113"/>
      <c r="F217" s="114"/>
      <c r="G217" s="114"/>
      <c r="H217" s="113"/>
      <c r="I217" s="114"/>
      <c r="J217" s="114"/>
      <c r="K217" s="114"/>
      <c r="L217" s="110"/>
      <c r="M217" s="110"/>
      <c r="N217" s="110"/>
      <c r="O217" s="110"/>
      <c r="P217" s="110"/>
      <c r="Q217" s="110"/>
      <c r="R217" s="110"/>
      <c r="S217" s="110"/>
      <c r="T217" s="112"/>
      <c r="U217" s="5"/>
      <c r="V217" s="5"/>
      <c r="W217" s="5"/>
      <c r="X217" s="5"/>
      <c r="Y217" s="5"/>
      <c r="Z217" s="5"/>
      <c r="AA217" s="112"/>
      <c r="AB217" s="5"/>
      <c r="AC217" s="5"/>
    </row>
    <row r="218" ht="18.0" customHeight="1">
      <c r="A218" s="109"/>
      <c r="B218" s="110"/>
      <c r="C218" s="111"/>
      <c r="D218" s="112"/>
      <c r="E218" s="113"/>
      <c r="F218" s="114"/>
      <c r="G218" s="114"/>
      <c r="H218" s="113"/>
      <c r="I218" s="114"/>
      <c r="J218" s="114"/>
      <c r="K218" s="114"/>
      <c r="L218" s="110"/>
      <c r="M218" s="110"/>
      <c r="N218" s="110"/>
      <c r="O218" s="110"/>
      <c r="P218" s="110"/>
      <c r="Q218" s="110"/>
      <c r="R218" s="110"/>
      <c r="S218" s="110"/>
      <c r="T218" s="112"/>
      <c r="U218" s="5"/>
      <c r="V218" s="5"/>
      <c r="W218" s="5"/>
      <c r="X218" s="5"/>
      <c r="Y218" s="5"/>
      <c r="Z218" s="5"/>
      <c r="AA218" s="112"/>
      <c r="AB218" s="5"/>
      <c r="AC218" s="5"/>
    </row>
    <row r="219" ht="18.0" customHeight="1">
      <c r="A219" s="109"/>
      <c r="B219" s="110"/>
      <c r="C219" s="111"/>
      <c r="D219" s="112"/>
      <c r="E219" s="113"/>
      <c r="F219" s="114"/>
      <c r="G219" s="114"/>
      <c r="H219" s="113"/>
      <c r="I219" s="114"/>
      <c r="J219" s="114"/>
      <c r="K219" s="114"/>
      <c r="L219" s="110"/>
      <c r="M219" s="110"/>
      <c r="N219" s="110"/>
      <c r="O219" s="110"/>
      <c r="P219" s="110"/>
      <c r="Q219" s="110"/>
      <c r="R219" s="110"/>
      <c r="S219" s="110"/>
      <c r="T219" s="112"/>
      <c r="U219" s="5"/>
      <c r="V219" s="5"/>
      <c r="W219" s="5"/>
      <c r="X219" s="5"/>
      <c r="Y219" s="5"/>
      <c r="Z219" s="5"/>
      <c r="AA219" s="112"/>
      <c r="AB219" s="5"/>
      <c r="AC219" s="5"/>
    </row>
    <row r="220" ht="18.0" customHeight="1">
      <c r="A220" s="109"/>
      <c r="B220" s="110"/>
      <c r="C220" s="111"/>
      <c r="D220" s="112"/>
      <c r="E220" s="113"/>
      <c r="F220" s="114"/>
      <c r="G220" s="114"/>
      <c r="H220" s="113"/>
      <c r="I220" s="114"/>
      <c r="J220" s="114"/>
      <c r="K220" s="114"/>
      <c r="L220" s="110"/>
      <c r="M220" s="110"/>
      <c r="N220" s="110"/>
      <c r="O220" s="110"/>
      <c r="P220" s="110"/>
      <c r="Q220" s="110"/>
      <c r="R220" s="110"/>
      <c r="S220" s="110"/>
      <c r="T220" s="112"/>
      <c r="U220" s="5"/>
      <c r="V220" s="5"/>
      <c r="W220" s="5"/>
      <c r="X220" s="5"/>
      <c r="Y220" s="5"/>
      <c r="Z220" s="5"/>
      <c r="AA220" s="112"/>
      <c r="AB220" s="5"/>
      <c r="AC220" s="5"/>
    </row>
    <row r="221" ht="18.0" customHeight="1">
      <c r="A221" s="109"/>
      <c r="B221" s="110"/>
      <c r="C221" s="111"/>
      <c r="D221" s="112"/>
      <c r="E221" s="113"/>
      <c r="F221" s="114"/>
      <c r="G221" s="114"/>
      <c r="H221" s="113"/>
      <c r="I221" s="114"/>
      <c r="J221" s="114"/>
      <c r="K221" s="114"/>
      <c r="L221" s="110"/>
      <c r="M221" s="110"/>
      <c r="N221" s="110"/>
      <c r="O221" s="110"/>
      <c r="P221" s="110"/>
      <c r="Q221" s="110"/>
      <c r="R221" s="110"/>
      <c r="S221" s="110"/>
      <c r="T221" s="112"/>
      <c r="U221" s="5"/>
      <c r="V221" s="5"/>
      <c r="W221" s="5"/>
      <c r="X221" s="5"/>
      <c r="Y221" s="5"/>
      <c r="Z221" s="5"/>
      <c r="AA221" s="112"/>
      <c r="AB221" s="5"/>
      <c r="AC221" s="5"/>
    </row>
    <row r="222" ht="18.0" customHeight="1">
      <c r="A222" s="109"/>
      <c r="B222" s="110"/>
      <c r="C222" s="111"/>
      <c r="D222" s="112"/>
      <c r="E222" s="113"/>
      <c r="F222" s="114"/>
      <c r="G222" s="114"/>
      <c r="H222" s="113"/>
      <c r="I222" s="114"/>
      <c r="J222" s="114"/>
      <c r="K222" s="114"/>
      <c r="L222" s="110"/>
      <c r="M222" s="110"/>
      <c r="N222" s="110"/>
      <c r="O222" s="110"/>
      <c r="P222" s="110"/>
      <c r="Q222" s="110"/>
      <c r="R222" s="110"/>
      <c r="S222" s="110"/>
      <c r="T222" s="112"/>
      <c r="U222" s="5"/>
      <c r="V222" s="5"/>
      <c r="W222" s="5"/>
      <c r="X222" s="5"/>
      <c r="Y222" s="5"/>
      <c r="Z222" s="5"/>
      <c r="AA222" s="112"/>
      <c r="AB222" s="5"/>
      <c r="AC222" s="5"/>
    </row>
    <row r="223" ht="18.0" customHeight="1">
      <c r="A223" s="109"/>
      <c r="B223" s="110"/>
      <c r="C223" s="111"/>
      <c r="D223" s="112"/>
      <c r="E223" s="113"/>
      <c r="F223" s="114"/>
      <c r="G223" s="114"/>
      <c r="H223" s="113"/>
      <c r="I223" s="114"/>
      <c r="J223" s="114"/>
      <c r="K223" s="114"/>
      <c r="L223" s="110"/>
      <c r="M223" s="110"/>
      <c r="N223" s="110"/>
      <c r="O223" s="110"/>
      <c r="P223" s="110"/>
      <c r="Q223" s="110"/>
      <c r="R223" s="110"/>
      <c r="S223" s="110"/>
      <c r="T223" s="112"/>
      <c r="U223" s="5"/>
      <c r="V223" s="5"/>
      <c r="W223" s="5"/>
      <c r="X223" s="5"/>
      <c r="Y223" s="5"/>
      <c r="Z223" s="5"/>
      <c r="AA223" s="112"/>
      <c r="AB223" s="5"/>
      <c r="AC223" s="5"/>
    </row>
    <row r="224" ht="18.0" customHeight="1">
      <c r="A224" s="109"/>
      <c r="B224" s="110"/>
      <c r="C224" s="111"/>
      <c r="D224" s="112"/>
      <c r="E224" s="113"/>
      <c r="F224" s="114"/>
      <c r="G224" s="114"/>
      <c r="H224" s="113"/>
      <c r="I224" s="114"/>
      <c r="J224" s="114"/>
      <c r="K224" s="114"/>
      <c r="L224" s="110"/>
      <c r="M224" s="110"/>
      <c r="N224" s="110"/>
      <c r="O224" s="110"/>
      <c r="P224" s="110"/>
      <c r="Q224" s="110"/>
      <c r="R224" s="110"/>
      <c r="S224" s="110"/>
      <c r="T224" s="112"/>
      <c r="U224" s="5"/>
      <c r="V224" s="5"/>
      <c r="W224" s="5"/>
      <c r="X224" s="5"/>
      <c r="Y224" s="5"/>
      <c r="Z224" s="5"/>
      <c r="AA224" s="112"/>
      <c r="AB224" s="5"/>
      <c r="AC224" s="5"/>
    </row>
    <row r="225" ht="18.0" customHeight="1">
      <c r="A225" s="109"/>
      <c r="B225" s="110"/>
      <c r="C225" s="111"/>
      <c r="D225" s="112"/>
      <c r="E225" s="113"/>
      <c r="F225" s="114"/>
      <c r="G225" s="114"/>
      <c r="H225" s="113"/>
      <c r="I225" s="114"/>
      <c r="J225" s="114"/>
      <c r="K225" s="114"/>
      <c r="L225" s="110"/>
      <c r="M225" s="110"/>
      <c r="N225" s="110"/>
      <c r="O225" s="110"/>
      <c r="P225" s="110"/>
      <c r="Q225" s="110"/>
      <c r="R225" s="110"/>
      <c r="S225" s="110"/>
      <c r="T225" s="112"/>
      <c r="U225" s="5"/>
      <c r="V225" s="5"/>
      <c r="W225" s="5"/>
      <c r="X225" s="5"/>
      <c r="Y225" s="5"/>
      <c r="Z225" s="5"/>
      <c r="AA225" s="112"/>
      <c r="AB225" s="5"/>
      <c r="AC225" s="5"/>
    </row>
    <row r="226" ht="18.0" customHeight="1">
      <c r="A226" s="109"/>
      <c r="B226" s="110"/>
      <c r="C226" s="111"/>
      <c r="D226" s="112"/>
      <c r="E226" s="113"/>
      <c r="F226" s="114"/>
      <c r="G226" s="114"/>
      <c r="H226" s="113"/>
      <c r="I226" s="114"/>
      <c r="J226" s="114"/>
      <c r="K226" s="114"/>
      <c r="L226" s="110"/>
      <c r="M226" s="110"/>
      <c r="N226" s="110"/>
      <c r="O226" s="110"/>
      <c r="P226" s="110"/>
      <c r="Q226" s="110"/>
      <c r="R226" s="110"/>
      <c r="S226" s="110"/>
      <c r="T226" s="112"/>
      <c r="U226" s="5"/>
      <c r="V226" s="5"/>
      <c r="W226" s="5"/>
      <c r="X226" s="5"/>
      <c r="Y226" s="5"/>
      <c r="Z226" s="5"/>
      <c r="AA226" s="112"/>
      <c r="AB226" s="5"/>
      <c r="AC226" s="5"/>
    </row>
    <row r="227" ht="18.0" customHeight="1">
      <c r="A227" s="109"/>
      <c r="B227" s="110"/>
      <c r="C227" s="111"/>
      <c r="D227" s="112"/>
      <c r="E227" s="113"/>
      <c r="F227" s="114"/>
      <c r="G227" s="114"/>
      <c r="H227" s="113"/>
      <c r="I227" s="114"/>
      <c r="J227" s="114"/>
      <c r="K227" s="114"/>
      <c r="L227" s="110"/>
      <c r="M227" s="110"/>
      <c r="N227" s="110"/>
      <c r="O227" s="110"/>
      <c r="P227" s="110"/>
      <c r="Q227" s="110"/>
      <c r="R227" s="110"/>
      <c r="S227" s="110"/>
      <c r="T227" s="112"/>
      <c r="U227" s="5"/>
      <c r="V227" s="5"/>
      <c r="W227" s="5"/>
      <c r="X227" s="5"/>
      <c r="Y227" s="5"/>
      <c r="Z227" s="5"/>
      <c r="AA227" s="112"/>
      <c r="AB227" s="5"/>
      <c r="AC227" s="5"/>
    </row>
    <row r="228" ht="18.0" customHeight="1">
      <c r="A228" s="109"/>
      <c r="B228" s="110"/>
      <c r="C228" s="111"/>
      <c r="D228" s="112"/>
      <c r="E228" s="113"/>
      <c r="F228" s="114"/>
      <c r="G228" s="114"/>
      <c r="H228" s="113"/>
      <c r="I228" s="114"/>
      <c r="J228" s="114"/>
      <c r="K228" s="114"/>
      <c r="L228" s="110"/>
      <c r="M228" s="110"/>
      <c r="N228" s="110"/>
      <c r="O228" s="110"/>
      <c r="P228" s="110"/>
      <c r="Q228" s="110"/>
      <c r="R228" s="110"/>
      <c r="S228" s="110"/>
      <c r="T228" s="112"/>
      <c r="U228" s="5"/>
      <c r="V228" s="5"/>
      <c r="W228" s="5"/>
      <c r="X228" s="5"/>
      <c r="Y228" s="5"/>
      <c r="Z228" s="5"/>
      <c r="AA228" s="112"/>
      <c r="AB228" s="5"/>
      <c r="AC228" s="5"/>
    </row>
    <row r="229" ht="18.0" customHeight="1">
      <c r="A229" s="109"/>
      <c r="B229" s="5"/>
      <c r="C229" s="5"/>
      <c r="D229" s="112"/>
      <c r="E229" s="113"/>
      <c r="F229" s="114"/>
      <c r="G229" s="114"/>
      <c r="H229" s="113"/>
      <c r="I229" s="114"/>
      <c r="J229" s="114"/>
      <c r="K229" s="114"/>
      <c r="L229" s="110"/>
      <c r="M229" s="110"/>
      <c r="N229" s="110"/>
      <c r="O229" s="110"/>
      <c r="P229" s="110"/>
      <c r="Q229" s="110"/>
      <c r="R229" s="110"/>
      <c r="S229" s="110"/>
      <c r="T229" s="112"/>
      <c r="U229" s="5"/>
      <c r="V229" s="5"/>
      <c r="W229" s="5"/>
      <c r="X229" s="5"/>
      <c r="Y229" s="5"/>
      <c r="Z229" s="5"/>
      <c r="AA229" s="112"/>
      <c r="AB229" s="5"/>
      <c r="AC229" s="5"/>
    </row>
    <row r="230" ht="18.0" customHeight="1">
      <c r="A230" s="109"/>
      <c r="B230" s="5"/>
      <c r="C230" s="5"/>
      <c r="D230" s="112"/>
      <c r="E230" s="113"/>
      <c r="F230" s="114"/>
      <c r="G230" s="114"/>
      <c r="H230" s="113"/>
      <c r="I230" s="114"/>
      <c r="J230" s="114"/>
      <c r="K230" s="114"/>
      <c r="L230" s="110"/>
      <c r="M230" s="110"/>
      <c r="N230" s="110"/>
      <c r="O230" s="110"/>
      <c r="P230" s="110"/>
      <c r="Q230" s="110"/>
      <c r="R230" s="110"/>
      <c r="S230" s="110"/>
      <c r="T230" s="112"/>
      <c r="U230" s="5"/>
      <c r="V230" s="5"/>
      <c r="W230" s="5"/>
      <c r="X230" s="5"/>
      <c r="Y230" s="5"/>
      <c r="Z230" s="5"/>
      <c r="AA230" s="112"/>
      <c r="AB230" s="5"/>
      <c r="AC230" s="5"/>
    </row>
    <row r="231" ht="18.0" customHeight="1">
      <c r="A231" s="109"/>
      <c r="B231" s="5"/>
      <c r="C231" s="5"/>
      <c r="D231" s="112"/>
      <c r="E231" s="113"/>
      <c r="F231" s="114"/>
      <c r="G231" s="114"/>
      <c r="H231" s="113"/>
      <c r="I231" s="114"/>
      <c r="J231" s="114"/>
      <c r="K231" s="114"/>
      <c r="L231" s="110"/>
      <c r="M231" s="110"/>
      <c r="N231" s="110"/>
      <c r="O231" s="110"/>
      <c r="P231" s="110"/>
      <c r="Q231" s="110"/>
      <c r="R231" s="110"/>
      <c r="S231" s="110"/>
      <c r="T231" s="112"/>
      <c r="U231" s="5"/>
      <c r="V231" s="5"/>
      <c r="W231" s="5"/>
      <c r="X231" s="5"/>
      <c r="Y231" s="5"/>
      <c r="Z231" s="5"/>
      <c r="AA231" s="5"/>
      <c r="AB231" s="5"/>
      <c r="AC231" s="5"/>
    </row>
    <row r="232" ht="18.0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</row>
    <row r="233" ht="18.0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</row>
    <row r="234" ht="18.0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 ht="18.0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</row>
    <row r="236" ht="18.0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</row>
    <row r="237" ht="18.0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</row>
    <row r="238" ht="18.0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</row>
    <row r="239" ht="18.0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</row>
    <row r="240" ht="18.0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</row>
    <row r="241" ht="18.0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 ht="18.0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</row>
    <row r="243" ht="18.0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</row>
    <row r="244" ht="18.0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</row>
    <row r="245" ht="18.0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</row>
    <row r="246" ht="18.0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</row>
    <row r="247" ht="18.0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</row>
    <row r="248" ht="18.0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 ht="18.0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</row>
    <row r="250" ht="18.0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</row>
    <row r="251" ht="18.0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</row>
    <row r="252" ht="18.0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</row>
    <row r="253" ht="18.0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</row>
    <row r="254" ht="18.0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</row>
    <row r="255" ht="18.0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 ht="18.0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</row>
    <row r="257" ht="18.0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</row>
    <row r="258" ht="18.0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</row>
    <row r="259" ht="18.0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</row>
    <row r="260" ht="18.0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</row>
    <row r="261" ht="18.0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</row>
    <row r="262" ht="18.0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 ht="18.0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</row>
    <row r="264" ht="18.0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</row>
    <row r="265" ht="18.0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</row>
    <row r="266" ht="18.0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ht="18.0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ht="18.0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ht="18.0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ht="18.0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ht="18.0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ht="18.0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ht="18.0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ht="18.0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ht="18.0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ht="18.0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ht="18.0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ht="18.0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ht="18.0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ht="18.0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ht="18.0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ht="18.0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ht="18.0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ht="18.0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ht="18.0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ht="18.0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ht="18.0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ht="18.0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ht="18.0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ht="18.0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ht="18.0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ht="18.0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ht="18.0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ht="18.0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ht="18.0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ht="18.0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ht="18.0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ht="18.0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ht="18.0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ht="18.0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ht="18.0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ht="18.0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ht="18.0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ht="18.0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ht="18.0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ht="18.0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ht="18.0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ht="18.0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ht="18.0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ht="18.0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ht="18.0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ht="18.0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ht="18.0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ht="18.0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ht="18.0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ht="18.0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ht="18.0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ht="18.0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ht="18.0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ht="18.0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ht="18.0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ht="18.0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ht="18.0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ht="18.0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ht="18.0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ht="18.0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ht="18.0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ht="18.0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ht="18.0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ht="18.0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ht="18.0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ht="18.0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ht="18.0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ht="18.0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ht="18.0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ht="18.0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ht="18.0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ht="18.0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ht="18.0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ht="18.0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ht="18.0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ht="18.0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ht="18.0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ht="18.0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ht="18.0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ht="18.0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ht="18.0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ht="18.0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ht="18.0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ht="18.0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ht="18.0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ht="18.0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ht="18.0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ht="18.0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ht="18.0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ht="18.0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ht="18.0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ht="18.0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ht="18.0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ht="18.0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ht="18.0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ht="18.0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ht="18.0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ht="18.0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ht="18.0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ht="18.0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ht="18.0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ht="18.0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ht="18.0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ht="18.0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ht="18.0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ht="18.0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ht="18.0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ht="18.0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ht="18.0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ht="18.0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ht="18.0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ht="18.0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ht="18.0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ht="18.0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ht="18.0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ht="18.0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ht="18.0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ht="18.0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ht="18.0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ht="18.0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ht="18.0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ht="18.0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ht="18.0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ht="18.0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ht="18.0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ht="18.0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ht="18.0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ht="18.0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ht="18.0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ht="18.0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ht="18.0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ht="18.0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ht="18.0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ht="18.0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ht="18.0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ht="18.0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ht="18.0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ht="18.0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ht="18.0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ht="18.0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ht="18.0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ht="18.0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ht="18.0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ht="18.0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ht="18.0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ht="18.0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ht="18.0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ht="18.0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ht="18.0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ht="18.0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ht="18.0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ht="18.0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ht="18.0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ht="18.0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ht="18.0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ht="18.0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ht="18.0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ht="18.0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ht="18.0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ht="18.0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ht="18.0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ht="18.0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ht="18.0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ht="18.0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ht="18.0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ht="18.0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ht="18.0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ht="18.0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ht="18.0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ht="18.0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ht="18.0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ht="18.0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ht="18.0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ht="18.0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ht="18.0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ht="18.0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ht="18.0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ht="18.0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ht="18.0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ht="18.0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ht="18.0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ht="18.0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ht="18.0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ht="18.0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ht="18.0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ht="18.0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ht="18.0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ht="18.0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ht="18.0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ht="18.0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ht="18.0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ht="18.0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ht="18.0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ht="18.0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ht="18.0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ht="18.0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ht="18.0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ht="18.0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ht="18.0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ht="18.0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ht="18.0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ht="18.0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ht="18.0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ht="18.0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ht="18.0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ht="18.0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ht="18.0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ht="18.0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ht="18.0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ht="18.0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ht="18.0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ht="18.0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ht="18.0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ht="18.0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ht="18.0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ht="18.0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ht="18.0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ht="18.0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ht="18.0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ht="18.0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ht="18.0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ht="18.0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ht="18.0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ht="18.0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ht="18.0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ht="18.0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ht="18.0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ht="18.0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ht="18.0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ht="18.0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ht="18.0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ht="18.0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ht="18.0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ht="18.0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ht="18.0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ht="18.0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ht="18.0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ht="18.0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ht="18.0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ht="18.0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ht="18.0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ht="18.0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ht="18.0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ht="18.0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ht="18.0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ht="18.0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ht="18.0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ht="18.0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ht="18.0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ht="18.0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ht="18.0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ht="18.0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ht="18.0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ht="18.0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ht="18.0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ht="18.0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ht="18.0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ht="18.0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ht="18.0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ht="18.0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ht="18.0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ht="18.0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ht="18.0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ht="18.0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ht="18.0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ht="18.0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ht="18.0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ht="18.0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ht="18.0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ht="18.0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ht="18.0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ht="18.0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ht="18.0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ht="18.0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ht="18.0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ht="18.0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ht="18.0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ht="18.0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ht="18.0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ht="18.0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ht="18.0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ht="18.0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ht="18.0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ht="18.0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ht="18.0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ht="18.0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ht="18.0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ht="18.0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ht="18.0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ht="18.0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ht="18.0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ht="18.0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ht="18.0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ht="18.0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ht="18.0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ht="18.0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ht="18.0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ht="18.0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ht="18.0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ht="18.0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ht="18.0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ht="18.0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ht="18.0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ht="18.0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ht="18.0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ht="18.0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ht="18.0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ht="18.0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ht="18.0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ht="18.0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ht="18.0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ht="18.0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ht="18.0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ht="18.0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ht="18.0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ht="18.0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ht="18.0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ht="18.0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ht="18.0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ht="18.0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ht="18.0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ht="18.0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ht="18.0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ht="18.0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ht="18.0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ht="18.0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ht="18.0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ht="18.0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ht="18.0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ht="18.0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ht="18.0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ht="18.0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ht="18.0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ht="18.0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ht="18.0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ht="18.0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ht="18.0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ht="18.0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ht="18.0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ht="18.0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ht="18.0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ht="18.0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ht="18.0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ht="18.0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ht="18.0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ht="18.0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ht="18.0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ht="18.0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ht="18.0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ht="18.0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ht="18.0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ht="18.0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ht="18.0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ht="18.0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ht="18.0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ht="18.0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ht="18.0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ht="18.0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ht="18.0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ht="18.0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ht="18.0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ht="18.0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ht="18.0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ht="18.0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ht="18.0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ht="18.0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ht="18.0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ht="18.0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ht="18.0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ht="18.0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ht="18.0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ht="18.0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ht="18.0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ht="18.0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ht="18.0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ht="18.0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ht="18.0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ht="18.0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ht="18.0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ht="18.0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ht="18.0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ht="18.0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ht="18.0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ht="18.0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ht="18.0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ht="18.0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ht="18.0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ht="18.0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ht="18.0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ht="18.0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ht="18.0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ht="18.0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ht="18.0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ht="18.0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ht="18.0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ht="18.0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ht="18.0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ht="18.0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ht="18.0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ht="18.0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ht="18.0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ht="18.0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ht="18.0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ht="18.0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ht="18.0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ht="18.0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ht="18.0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ht="18.0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ht="18.0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ht="18.0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ht="18.0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ht="18.0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ht="18.0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ht="18.0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ht="18.0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ht="18.0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ht="18.0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ht="18.0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ht="18.0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ht="18.0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ht="18.0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ht="18.0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ht="18.0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ht="18.0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ht="18.0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ht="18.0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ht="18.0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ht="18.0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ht="18.0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ht="18.0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ht="18.0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ht="18.0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ht="18.0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ht="18.0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ht="18.0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ht="18.0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ht="18.0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ht="18.0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ht="18.0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ht="18.0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ht="18.0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ht="18.0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ht="18.0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ht="18.0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ht="18.0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ht="18.0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ht="18.0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ht="18.0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ht="18.0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ht="18.0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ht="18.0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ht="18.0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ht="18.0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ht="18.0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ht="18.0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ht="18.0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ht="18.0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ht="18.0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ht="18.0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ht="18.0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ht="18.0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ht="18.0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ht="18.0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ht="18.0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ht="18.0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ht="18.0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ht="18.0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ht="18.0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ht="18.0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ht="18.0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ht="18.0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ht="18.0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ht="18.0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ht="18.0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ht="18.0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ht="18.0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ht="18.0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ht="18.0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ht="18.0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ht="18.0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ht="18.0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ht="18.0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ht="18.0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ht="18.0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ht="18.0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ht="18.0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ht="18.0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ht="18.0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ht="18.0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ht="18.0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ht="18.0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ht="18.0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ht="18.0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ht="18.0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ht="18.0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ht="18.0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ht="18.0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ht="18.0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ht="18.0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ht="18.0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ht="18.0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ht="18.0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ht="18.0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ht="18.0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ht="18.0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ht="18.0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ht="18.0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ht="18.0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ht="18.0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ht="18.0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ht="18.0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ht="18.0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ht="18.0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ht="18.0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ht="18.0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ht="18.0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ht="18.0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ht="18.0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ht="18.0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ht="18.0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ht="18.0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ht="18.0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ht="18.0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ht="18.0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ht="18.0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ht="18.0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ht="18.0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ht="18.0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ht="18.0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ht="18.0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ht="18.0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ht="18.0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ht="18.0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ht="18.0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ht="18.0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ht="18.0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ht="18.0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ht="18.0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ht="18.0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ht="18.0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ht="18.0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ht="18.0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ht="18.0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ht="18.0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ht="18.0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ht="18.0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ht="18.0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ht="18.0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ht="18.0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ht="18.0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ht="18.0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ht="18.0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ht="18.0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ht="18.0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ht="18.0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ht="18.0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ht="18.0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ht="18.0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ht="18.0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ht="18.0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ht="18.0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ht="18.0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ht="18.0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ht="18.0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ht="18.0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ht="18.0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ht="18.0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ht="18.0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ht="18.0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ht="18.0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ht="18.0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ht="18.0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ht="18.0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ht="18.0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ht="18.0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ht="18.0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ht="18.0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ht="18.0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ht="18.0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ht="18.0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ht="18.0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ht="18.0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ht="18.0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ht="18.0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 ht="18.0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</row>
    <row r="852" ht="18.0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</row>
    <row r="853" ht="18.0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</row>
    <row r="854" ht="18.0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</row>
    <row r="855" ht="18.0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</row>
    <row r="856" ht="18.0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</row>
    <row r="857" ht="18.0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 ht="18.0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</row>
    <row r="859" ht="18.0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</row>
    <row r="860" ht="18.0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</row>
    <row r="861" ht="18.0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</row>
    <row r="862" ht="18.0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</row>
    <row r="863" ht="18.0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</row>
    <row r="864" ht="18.0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 ht="18.0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</row>
    <row r="866" ht="18.0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</row>
    <row r="867" ht="18.0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</row>
    <row r="868" ht="18.0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</row>
    <row r="869" ht="18.0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</row>
    <row r="870" ht="18.0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</row>
    <row r="871" ht="18.0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 ht="18.0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</row>
    <row r="873" ht="18.0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</row>
    <row r="874" ht="18.0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</row>
    <row r="875" ht="18.0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</row>
    <row r="876" ht="18.0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</row>
    <row r="877" ht="18.0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</row>
    <row r="878" ht="18.0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 ht="18.0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</row>
    <row r="880" ht="18.0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</row>
    <row r="881" ht="18.0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</row>
    <row r="882" ht="18.0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</row>
    <row r="883" ht="18.0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</row>
    <row r="884" ht="18.0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</row>
    <row r="885" ht="18.0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 ht="18.0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</row>
    <row r="887" ht="18.0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</row>
    <row r="888" ht="18.0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</row>
    <row r="889" ht="18.0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</row>
    <row r="890" ht="18.0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</row>
    <row r="891" ht="18.0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</row>
    <row r="892" ht="18.0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 ht="18.0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</row>
    <row r="894" ht="18.0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</row>
    <row r="895" ht="18.0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</row>
    <row r="896" ht="18.0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</row>
    <row r="897" ht="18.0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</row>
    <row r="898" ht="18.0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</row>
    <row r="899" ht="18.0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 ht="18.0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</row>
    <row r="901" ht="18.0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</row>
    <row r="902" ht="18.0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</row>
    <row r="903" ht="18.0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</row>
    <row r="904" ht="18.0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</row>
    <row r="905" ht="18.0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</row>
    <row r="906" ht="18.0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 ht="18.0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</row>
    <row r="908" ht="18.0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</row>
    <row r="909" ht="18.0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</row>
    <row r="910" ht="18.0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</row>
    <row r="911" ht="18.0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</row>
    <row r="912" ht="18.0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</row>
    <row r="913" ht="18.0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 ht="18.0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</row>
    <row r="915" ht="18.0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</row>
    <row r="916" ht="18.0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</row>
    <row r="917" ht="18.0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</row>
    <row r="918" ht="18.0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</row>
    <row r="919" ht="18.0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</row>
    <row r="920" ht="18.0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 ht="18.0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</row>
    <row r="922" ht="18.0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</row>
    <row r="923" ht="18.0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</row>
    <row r="924" ht="18.0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</row>
    <row r="925" ht="18.0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</row>
    <row r="926" ht="18.0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</row>
    <row r="927" ht="18.0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 ht="18.0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</row>
    <row r="929" ht="18.0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</row>
    <row r="930" ht="18.0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</row>
    <row r="931" ht="18.0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</row>
    <row r="932" ht="18.0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</row>
    <row r="933" ht="18.0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</row>
    <row r="934" ht="18.0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 ht="18.0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</row>
    <row r="936" ht="18.0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</row>
    <row r="937" ht="18.0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</row>
    <row r="938" ht="18.0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</row>
    <row r="939" ht="18.0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</row>
    <row r="940" ht="18.0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</row>
    <row r="941" ht="18.0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 ht="18.0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</row>
    <row r="943" ht="18.0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</row>
    <row r="944" ht="18.0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</row>
    <row r="945" ht="18.0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</row>
    <row r="946" ht="18.0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</row>
    <row r="947" ht="18.0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</row>
    <row r="948" ht="18.0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 ht="18.0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</row>
    <row r="950" ht="18.0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</row>
    <row r="951" ht="18.0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</row>
    <row r="952" ht="18.0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</row>
    <row r="953" ht="18.0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</row>
    <row r="954" ht="18.0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</row>
    <row r="955" ht="18.0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</row>
    <row r="956" ht="18.0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</row>
    <row r="957" ht="18.0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</row>
    <row r="958" ht="18.0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</row>
    <row r="959" ht="18.0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</row>
    <row r="960" ht="18.0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</row>
    <row r="961" ht="18.0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</row>
    <row r="962" ht="18.0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</row>
    <row r="963" ht="18.0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</row>
    <row r="964" ht="18.0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</row>
    <row r="965" ht="18.0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</row>
    <row r="966" ht="18.0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</row>
    <row r="967" ht="18.0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</row>
    <row r="968" ht="18.0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</row>
    <row r="969" ht="18.0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</row>
    <row r="970" ht="18.0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</row>
    <row r="971" ht="18.0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</row>
    <row r="972" ht="18.0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</row>
    <row r="973" ht="18.0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</row>
    <row r="974" ht="18.0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</row>
    <row r="975" ht="18.0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</row>
    <row r="976" ht="18.0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</row>
    <row r="977" ht="18.0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</row>
    <row r="978" ht="18.0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</row>
    <row r="979" ht="18.0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</row>
    <row r="980" ht="18.0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</row>
    <row r="981" ht="18.0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</row>
    <row r="982" ht="18.0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</row>
    <row r="983" ht="18.0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</row>
    <row r="984" ht="18.0" customHeight="1">
      <c r="A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</row>
    <row r="985" ht="18.0" customHeight="1">
      <c r="A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</row>
    <row r="986" ht="18.0" customHeight="1">
      <c r="A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</row>
    <row r="987" ht="18.0" customHeight="1">
      <c r="A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</row>
    <row r="988" ht="18.0" customHeight="1">
      <c r="A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</row>
    <row r="989" ht="18.0" customHeight="1">
      <c r="A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</row>
    <row r="990" ht="18.0" customHeight="1">
      <c r="A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</row>
  </sheetData>
  <mergeCells count="9">
    <mergeCell ref="B5:C5"/>
    <mergeCell ref="B6:C7"/>
    <mergeCell ref="B2:B3"/>
    <mergeCell ref="C2:C3"/>
    <mergeCell ref="E2:M3"/>
    <mergeCell ref="U2:W3"/>
    <mergeCell ref="X2:Z3"/>
    <mergeCell ref="E5:S5"/>
    <mergeCell ref="U5:Z5"/>
  </mergeCells>
  <conditionalFormatting sqref="X4:Z4 X2">
    <cfRule type="cellIs" dxfId="0" priority="1" operator="greaterThan">
      <formula>0</formula>
    </cfRule>
  </conditionalFormatting>
  <conditionalFormatting sqref="X4:Z4 X2">
    <cfRule type="cellIs" dxfId="1" priority="2" operator="lessThan">
      <formula>0</formula>
    </cfRule>
  </conditionalFormatting>
  <conditionalFormatting sqref="B16">
    <cfRule type="cellIs" dxfId="0" priority="3" operator="greaterThan">
      <formula>0</formula>
    </cfRule>
  </conditionalFormatting>
  <conditionalFormatting sqref="B16">
    <cfRule type="cellIs" dxfId="1" priority="4" operator="lessThan">
      <formula>0</formula>
    </cfRule>
  </conditionalFormatting>
  <conditionalFormatting sqref="B19">
    <cfRule type="cellIs" dxfId="0" priority="5" operator="greaterThan">
      <formula>0</formula>
    </cfRule>
  </conditionalFormatting>
  <conditionalFormatting sqref="B19">
    <cfRule type="cellIs" dxfId="1" priority="6" operator="lessThan">
      <formula>0</formula>
    </cfRule>
  </conditionalFormatting>
  <conditionalFormatting sqref="B22">
    <cfRule type="cellIs" dxfId="0" priority="7" operator="greaterThan">
      <formula>0</formula>
    </cfRule>
  </conditionalFormatting>
  <conditionalFormatting sqref="B22">
    <cfRule type="cellIs" dxfId="1" priority="8" operator="lessThan">
      <formula>0</formula>
    </cfRule>
  </conditionalFormatting>
  <conditionalFormatting sqref="B25">
    <cfRule type="cellIs" dxfId="0" priority="9" operator="greaterThan">
      <formula>0</formula>
    </cfRule>
  </conditionalFormatting>
  <conditionalFormatting sqref="B25">
    <cfRule type="cellIs" dxfId="1" priority="10" operator="lessThan">
      <formula>0</formula>
    </cfRule>
  </conditionalFormatting>
  <conditionalFormatting sqref="B28">
    <cfRule type="cellIs" dxfId="0" priority="11" operator="greaterThan">
      <formula>0</formula>
    </cfRule>
  </conditionalFormatting>
  <conditionalFormatting sqref="B28">
    <cfRule type="cellIs" dxfId="1" priority="12" operator="lessThan">
      <formula>0</formula>
    </cfRule>
  </conditionalFormatting>
  <conditionalFormatting sqref="B10">
    <cfRule type="cellIs" dxfId="0" priority="13" operator="greaterThan">
      <formula>0</formula>
    </cfRule>
  </conditionalFormatting>
  <conditionalFormatting sqref="B10">
    <cfRule type="cellIs" dxfId="1" priority="14" operator="lessThan">
      <formula>0</formula>
    </cfRule>
  </conditionalFormatting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DD7EE"/>
    <pageSetUpPr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13.11"/>
    <col customWidth="1" min="3" max="3" width="12.56"/>
    <col customWidth="1" min="4" max="4" width="2.56"/>
    <col customWidth="1" min="5" max="5" width="8.44"/>
    <col customWidth="1" min="6" max="6" width="4.67"/>
    <col customWidth="1" min="7" max="7" width="7.33"/>
    <col customWidth="1" min="8" max="8" width="8.44"/>
    <col customWidth="1" min="9" max="9" width="5.56"/>
    <col customWidth="1" min="10" max="10" width="4.22"/>
    <col customWidth="1" min="11" max="11" width="5.0"/>
    <col customWidth="1" min="12" max="12" width="7.22"/>
    <col customWidth="1" min="13" max="13" width="17.78"/>
    <col customWidth="1" min="14" max="14" width="9.11"/>
    <col customWidth="1" min="15" max="15" width="9.22"/>
    <col customWidth="1" min="16" max="17" width="7.78"/>
    <col customWidth="1" min="18" max="19" width="7.67"/>
    <col customWidth="1" min="20" max="20" width="2.56"/>
    <col customWidth="1" min="21" max="22" width="9.44"/>
    <col customWidth="1" min="23" max="23" width="7.33"/>
    <col customWidth="1" min="24" max="24" width="5.44"/>
    <col customWidth="1" min="25" max="26" width="9.44"/>
    <col customWidth="1" min="27" max="27" width="2.56"/>
    <col customWidth="1" min="28" max="28" width="8.0"/>
    <col customWidth="1" min="29" max="29" width="11.22"/>
  </cols>
  <sheetData>
    <row r="1" ht="15.0" customHeight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</row>
    <row r="2" ht="18.0" customHeight="1">
      <c r="A2" s="6"/>
      <c r="B2" s="7" t="s">
        <v>0</v>
      </c>
      <c r="C2" s="118" t="s">
        <v>47</v>
      </c>
      <c r="D2" s="9"/>
      <c r="E2" s="10" t="str">
        <f>IFERROR(__xludf.DUMMYFUNCTION("googlefinance(C2, ""name"")"),"Pfizer Inc")</f>
        <v>Pfizer Inc</v>
      </c>
      <c r="F2" s="11"/>
      <c r="G2" s="11"/>
      <c r="H2" s="11"/>
      <c r="I2" s="11"/>
      <c r="J2" s="11"/>
      <c r="K2" s="11"/>
      <c r="L2" s="11"/>
      <c r="M2" s="12"/>
      <c r="N2" s="13"/>
      <c r="O2" s="15"/>
      <c r="P2" s="15"/>
      <c r="Q2" s="15"/>
      <c r="R2" s="15"/>
      <c r="S2" s="15"/>
      <c r="T2" s="15"/>
      <c r="U2" s="16" t="s">
        <v>2</v>
      </c>
      <c r="V2" s="17"/>
      <c r="W2" s="18"/>
      <c r="X2" s="120">
        <f>B16</f>
        <v>-1265</v>
      </c>
      <c r="Y2" s="11"/>
      <c r="Z2" s="20"/>
      <c r="AA2" s="21"/>
      <c r="AB2" s="5"/>
      <c r="AC2" s="5"/>
    </row>
    <row r="3" ht="18.0" customHeight="1">
      <c r="A3" s="22"/>
      <c r="B3" s="23"/>
      <c r="C3" s="23"/>
      <c r="D3" s="24"/>
      <c r="E3" s="25"/>
      <c r="F3" s="26"/>
      <c r="G3" s="26"/>
      <c r="H3" s="26"/>
      <c r="I3" s="26"/>
      <c r="J3" s="26"/>
      <c r="K3" s="26"/>
      <c r="L3" s="26"/>
      <c r="M3" s="27"/>
      <c r="N3" s="13"/>
      <c r="O3" s="15"/>
      <c r="P3" s="15"/>
      <c r="Q3" s="15"/>
      <c r="R3" s="15"/>
      <c r="S3" s="15"/>
      <c r="T3" s="15"/>
      <c r="U3" s="28"/>
      <c r="V3" s="26"/>
      <c r="W3" s="29"/>
      <c r="X3" s="30"/>
      <c r="Y3" s="31"/>
      <c r="Z3" s="32"/>
      <c r="AA3" s="33"/>
      <c r="AB3" s="5"/>
      <c r="AC3" s="5"/>
    </row>
    <row r="4" ht="15.0" customHeight="1">
      <c r="A4" s="34"/>
      <c r="B4" s="35"/>
      <c r="C4" s="35"/>
      <c r="D4" s="36"/>
      <c r="E4" s="36"/>
      <c r="F4" s="36"/>
      <c r="G4" s="36"/>
      <c r="H4" s="36"/>
      <c r="I4" s="36"/>
      <c r="J4" s="121"/>
      <c r="K4" s="121"/>
      <c r="L4" s="121"/>
      <c r="M4" s="122"/>
      <c r="N4" s="122"/>
      <c r="O4" s="15"/>
      <c r="P4" s="15"/>
      <c r="Q4" s="15"/>
      <c r="R4" s="15"/>
      <c r="S4" s="15"/>
      <c r="T4" s="15"/>
      <c r="U4" s="38"/>
      <c r="V4" s="38"/>
      <c r="W4" s="38"/>
      <c r="X4" s="39"/>
      <c r="Y4" s="39"/>
      <c r="Z4" s="39"/>
      <c r="AA4" s="33"/>
      <c r="AB4" s="5"/>
      <c r="AC4" s="5"/>
    </row>
    <row r="5" ht="18.0" customHeight="1">
      <c r="A5" s="34"/>
      <c r="B5" s="41" t="s">
        <v>3</v>
      </c>
      <c r="C5" s="42"/>
      <c r="D5" s="123"/>
      <c r="E5" s="124" t="s">
        <v>4</v>
      </c>
      <c r="T5" s="43"/>
      <c r="U5" s="44" t="s">
        <v>5</v>
      </c>
      <c r="V5" s="45"/>
      <c r="W5" s="45"/>
      <c r="X5" s="45"/>
      <c r="Y5" s="45"/>
      <c r="Z5" s="46"/>
      <c r="AA5" s="48"/>
      <c r="AB5" s="5"/>
      <c r="AC5" s="5"/>
    </row>
    <row r="6" ht="18.0" customHeight="1">
      <c r="A6" s="34"/>
      <c r="B6" s="125">
        <f>IFERROR(__xludf.DUMMYFUNCTION("googlefinance(C2,""price"")"),26.86)</f>
        <v>26.86</v>
      </c>
      <c r="C6" s="50"/>
      <c r="D6" s="123"/>
      <c r="E6" s="51" t="s">
        <v>6</v>
      </c>
      <c r="F6" s="52" t="s">
        <v>7</v>
      </c>
      <c r="G6" s="52" t="s">
        <v>8</v>
      </c>
      <c r="H6" s="53" t="s">
        <v>9</v>
      </c>
      <c r="I6" s="52" t="s">
        <v>10</v>
      </c>
      <c r="J6" s="52" t="s">
        <v>11</v>
      </c>
      <c r="K6" s="52" t="s">
        <v>12</v>
      </c>
      <c r="L6" s="51" t="s">
        <v>13</v>
      </c>
      <c r="M6" s="52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4" t="s">
        <v>19</v>
      </c>
      <c r="S6" s="51" t="s">
        <v>20</v>
      </c>
      <c r="T6" s="43"/>
      <c r="U6" s="51" t="s">
        <v>21</v>
      </c>
      <c r="V6" s="52" t="s">
        <v>22</v>
      </c>
      <c r="W6" s="52" t="s">
        <v>8</v>
      </c>
      <c r="X6" s="53" t="s">
        <v>23</v>
      </c>
      <c r="Y6" s="52" t="s">
        <v>24</v>
      </c>
      <c r="Z6" s="52" t="s">
        <v>25</v>
      </c>
      <c r="AA6" s="48"/>
      <c r="AB6" s="5"/>
      <c r="AC6" s="5"/>
    </row>
    <row r="7" ht="18.0" customHeight="1">
      <c r="A7" s="34"/>
      <c r="B7" s="55"/>
      <c r="C7" s="56"/>
      <c r="D7" s="123"/>
      <c r="E7" s="57">
        <v>44327.0</v>
      </c>
      <c r="F7" s="58" t="s">
        <v>26</v>
      </c>
      <c r="G7" s="58" t="s">
        <v>27</v>
      </c>
      <c r="H7" s="57">
        <v>44330.0</v>
      </c>
      <c r="I7" s="59">
        <v>41.0</v>
      </c>
      <c r="J7" s="60">
        <v>1.0</v>
      </c>
      <c r="K7" s="59">
        <v>0.09</v>
      </c>
      <c r="L7" s="61">
        <f t="shared" ref="L7:L32" si="1">IF(E7="","",IF(AND(F7="Stock",G7="Buy"),(100*((J7*K7)*-1)),IF(AND(F7="Call",G7="Buy"),(100*((J7*K7)*-1)),IF(AND(F7="PUT",G7="Buy"),(100*((J7*K7)*-1)),100*(J7*K7)))))</f>
        <v>9</v>
      </c>
      <c r="M7" s="62" t="s">
        <v>28</v>
      </c>
      <c r="N7" s="63"/>
      <c r="O7" s="64"/>
      <c r="P7" s="61">
        <f t="shared" ref="P7:P32" si="2">IF(E7="","",IF(AND(F7="Stock",G7="Buy"),(100*((J7*O7)*1)),IF(AND(F7="Call",G7="Buy"),(100*((J7*O7)*1)),IF(AND(F7="PUT",G7="Buy"),(100*((J7*O7)*1)),(100*(J7*O7))*-1))))</f>
        <v>0</v>
      </c>
      <c r="Q7" s="61">
        <f t="shared" ref="Q7:Q32" si="3">IF(L7="","",L7+P7)</f>
        <v>9</v>
      </c>
      <c r="R7" s="65">
        <f>K7/B6</f>
        <v>0.003350707372</v>
      </c>
      <c r="S7" s="66">
        <f t="shared" ref="S7:S32" si="4">IF(AND(E7="",N7=""),"",IF(N7="",TODAY()-E7,N7-E7))</f>
        <v>1766</v>
      </c>
      <c r="T7" s="43"/>
      <c r="U7" s="126">
        <v>44327.0</v>
      </c>
      <c r="V7" s="127"/>
      <c r="W7" s="128" t="s">
        <v>29</v>
      </c>
      <c r="X7" s="129">
        <v>100.0</v>
      </c>
      <c r="Y7" s="130">
        <v>39.6</v>
      </c>
      <c r="Z7" s="131">
        <f t="shared" ref="Z7:Z31" si="5">IF(X7="","",(X7*Y7)*-1)</f>
        <v>-3960</v>
      </c>
      <c r="AA7" s="48"/>
      <c r="AB7" s="5"/>
      <c r="AC7" s="5"/>
    </row>
    <row r="8" ht="18.0" customHeight="1">
      <c r="A8" s="34"/>
      <c r="B8" s="37"/>
      <c r="C8" s="37"/>
      <c r="D8" s="123"/>
      <c r="E8" s="132"/>
      <c r="F8" s="127"/>
      <c r="G8" s="127"/>
      <c r="H8" s="132"/>
      <c r="I8" s="133"/>
      <c r="J8" s="134"/>
      <c r="K8" s="133"/>
      <c r="L8" s="135" t="str">
        <f t="shared" si="1"/>
        <v/>
      </c>
      <c r="M8" s="127"/>
      <c r="N8" s="132"/>
      <c r="O8" s="136"/>
      <c r="P8" s="135" t="str">
        <f t="shared" si="2"/>
        <v/>
      </c>
      <c r="Q8" s="135" t="str">
        <f t="shared" si="3"/>
        <v/>
      </c>
      <c r="R8" s="137"/>
      <c r="S8" s="137" t="str">
        <f t="shared" si="4"/>
        <v/>
      </c>
      <c r="T8" s="43"/>
      <c r="U8" s="132"/>
      <c r="V8" s="127"/>
      <c r="W8" s="127"/>
      <c r="X8" s="138"/>
      <c r="Y8" s="133"/>
      <c r="Z8" s="131" t="str">
        <f t="shared" si="5"/>
        <v/>
      </c>
      <c r="AA8" s="48"/>
      <c r="AB8" s="5"/>
      <c r="AC8" s="5"/>
    </row>
    <row r="9" ht="18.0" customHeight="1">
      <c r="A9" s="6"/>
      <c r="B9" s="51" t="s">
        <v>30</v>
      </c>
      <c r="C9" s="51" t="s">
        <v>31</v>
      </c>
      <c r="D9" s="139"/>
      <c r="E9" s="132"/>
      <c r="F9" s="127"/>
      <c r="G9" s="127"/>
      <c r="H9" s="132"/>
      <c r="I9" s="133"/>
      <c r="J9" s="140"/>
      <c r="K9" s="133"/>
      <c r="L9" s="135" t="str">
        <f t="shared" si="1"/>
        <v/>
      </c>
      <c r="M9" s="127"/>
      <c r="N9" s="132"/>
      <c r="O9" s="136"/>
      <c r="P9" s="135" t="str">
        <f t="shared" si="2"/>
        <v/>
      </c>
      <c r="Q9" s="135" t="str">
        <f t="shared" si="3"/>
        <v/>
      </c>
      <c r="R9" s="137"/>
      <c r="S9" s="137" t="str">
        <f t="shared" si="4"/>
        <v/>
      </c>
      <c r="T9" s="43"/>
      <c r="U9" s="126"/>
      <c r="V9" s="127"/>
      <c r="W9" s="127"/>
      <c r="X9" s="138"/>
      <c r="Y9" s="133"/>
      <c r="Z9" s="131" t="str">
        <f t="shared" si="5"/>
        <v/>
      </c>
      <c r="AA9" s="72"/>
      <c r="AB9" s="5"/>
      <c r="AC9" s="5"/>
    </row>
    <row r="10" ht="18.0" customHeight="1">
      <c r="A10" s="6"/>
      <c r="B10" s="131">
        <f>IF(X7="",0,SUM(Z7:Z32))</f>
        <v>-3960</v>
      </c>
      <c r="C10" s="131">
        <f>IF(SUM(X7:X24)=0,0,B6*(SUM(X7:X444)))</f>
        <v>2686</v>
      </c>
      <c r="D10" s="139"/>
      <c r="E10" s="132"/>
      <c r="F10" s="127"/>
      <c r="G10" s="127"/>
      <c r="H10" s="132"/>
      <c r="I10" s="133"/>
      <c r="J10" s="140"/>
      <c r="K10" s="133"/>
      <c r="L10" s="135" t="str">
        <f t="shared" si="1"/>
        <v/>
      </c>
      <c r="M10" s="127"/>
      <c r="N10" s="132"/>
      <c r="O10" s="136"/>
      <c r="P10" s="135" t="str">
        <f t="shared" si="2"/>
        <v/>
      </c>
      <c r="Q10" s="135" t="str">
        <f t="shared" si="3"/>
        <v/>
      </c>
      <c r="R10" s="137"/>
      <c r="S10" s="137" t="str">
        <f t="shared" si="4"/>
        <v/>
      </c>
      <c r="T10" s="43"/>
      <c r="U10" s="132"/>
      <c r="V10" s="127"/>
      <c r="W10" s="127"/>
      <c r="X10" s="138"/>
      <c r="Y10" s="133"/>
      <c r="Z10" s="131" t="str">
        <f t="shared" si="5"/>
        <v/>
      </c>
      <c r="AA10" s="72"/>
      <c r="AB10" s="5"/>
      <c r="AC10" s="5"/>
    </row>
    <row r="11" ht="18.0" customHeight="1">
      <c r="A11" s="75"/>
      <c r="B11" s="76"/>
      <c r="C11" s="77"/>
      <c r="D11" s="141"/>
      <c r="E11" s="126"/>
      <c r="F11" s="127"/>
      <c r="G11" s="127"/>
      <c r="H11" s="132"/>
      <c r="I11" s="133"/>
      <c r="J11" s="140"/>
      <c r="K11" s="133"/>
      <c r="L11" s="135" t="str">
        <f t="shared" si="1"/>
        <v/>
      </c>
      <c r="M11" s="128"/>
      <c r="N11" s="126"/>
      <c r="O11" s="142"/>
      <c r="P11" s="135" t="str">
        <f t="shared" si="2"/>
        <v/>
      </c>
      <c r="Q11" s="135" t="str">
        <f t="shared" si="3"/>
        <v/>
      </c>
      <c r="R11" s="137"/>
      <c r="S11" s="137" t="str">
        <f t="shared" si="4"/>
        <v/>
      </c>
      <c r="T11" s="43"/>
      <c r="U11" s="132"/>
      <c r="V11" s="127"/>
      <c r="W11" s="127"/>
      <c r="X11" s="138"/>
      <c r="Y11" s="133"/>
      <c r="Z11" s="131" t="str">
        <f t="shared" si="5"/>
        <v/>
      </c>
      <c r="AA11" s="72"/>
      <c r="AB11" s="5"/>
      <c r="AC11" s="5"/>
    </row>
    <row r="12" ht="18.0" customHeight="1">
      <c r="A12" s="6"/>
      <c r="B12" s="51" t="s">
        <v>32</v>
      </c>
      <c r="C12" s="51" t="s">
        <v>33</v>
      </c>
      <c r="D12" s="139"/>
      <c r="E12" s="132"/>
      <c r="F12" s="127"/>
      <c r="G12" s="127"/>
      <c r="H12" s="132"/>
      <c r="I12" s="133"/>
      <c r="J12" s="134"/>
      <c r="K12" s="133"/>
      <c r="L12" s="135" t="str">
        <f t="shared" si="1"/>
        <v/>
      </c>
      <c r="M12" s="127"/>
      <c r="N12" s="132"/>
      <c r="O12" s="136"/>
      <c r="P12" s="135" t="str">
        <f t="shared" si="2"/>
        <v/>
      </c>
      <c r="Q12" s="135" t="str">
        <f t="shared" si="3"/>
        <v/>
      </c>
      <c r="R12" s="137"/>
      <c r="S12" s="137" t="str">
        <f t="shared" si="4"/>
        <v/>
      </c>
      <c r="T12" s="43"/>
      <c r="U12" s="132"/>
      <c r="V12" s="127"/>
      <c r="W12" s="127"/>
      <c r="X12" s="138"/>
      <c r="Y12" s="133"/>
      <c r="Z12" s="131" t="str">
        <f t="shared" si="5"/>
        <v/>
      </c>
      <c r="AA12" s="72"/>
      <c r="AB12" s="5"/>
      <c r="AC12" s="5"/>
    </row>
    <row r="13" ht="18.0" customHeight="1">
      <c r="A13" s="6"/>
      <c r="B13" s="131">
        <f>IF(X7="",0,(B10/SUM(X7:X32))*-1)</f>
        <v>39.6</v>
      </c>
      <c r="C13" s="131">
        <f>IF(X7="",0,((SUM(B22,B10)/SUM(X7:X32)))*-1)</f>
        <v>39.51</v>
      </c>
      <c r="D13" s="139"/>
      <c r="E13" s="132"/>
      <c r="F13" s="127"/>
      <c r="G13" s="127"/>
      <c r="H13" s="132"/>
      <c r="I13" s="133"/>
      <c r="J13" s="134"/>
      <c r="K13" s="133"/>
      <c r="L13" s="135" t="str">
        <f t="shared" si="1"/>
        <v/>
      </c>
      <c r="M13" s="127"/>
      <c r="N13" s="132"/>
      <c r="O13" s="136"/>
      <c r="P13" s="135" t="str">
        <f t="shared" si="2"/>
        <v/>
      </c>
      <c r="Q13" s="135" t="str">
        <f t="shared" si="3"/>
        <v/>
      </c>
      <c r="R13" s="137"/>
      <c r="S13" s="137" t="str">
        <f t="shared" si="4"/>
        <v/>
      </c>
      <c r="T13" s="43"/>
      <c r="U13" s="132"/>
      <c r="V13" s="127"/>
      <c r="W13" s="127"/>
      <c r="X13" s="138"/>
      <c r="Y13" s="133"/>
      <c r="Z13" s="131" t="str">
        <f t="shared" si="5"/>
        <v/>
      </c>
      <c r="AA13" s="72"/>
      <c r="AB13" s="5"/>
      <c r="AC13" s="5"/>
    </row>
    <row r="14" ht="18.0" customHeight="1">
      <c r="A14" s="75"/>
      <c r="B14" s="77"/>
      <c r="C14" s="77"/>
      <c r="D14" s="141"/>
      <c r="E14" s="132"/>
      <c r="F14" s="127"/>
      <c r="G14" s="127"/>
      <c r="H14" s="132"/>
      <c r="I14" s="133"/>
      <c r="J14" s="134"/>
      <c r="K14" s="133"/>
      <c r="L14" s="135" t="str">
        <f t="shared" si="1"/>
        <v/>
      </c>
      <c r="M14" s="127"/>
      <c r="N14" s="132"/>
      <c r="O14" s="136"/>
      <c r="P14" s="135" t="str">
        <f t="shared" si="2"/>
        <v/>
      </c>
      <c r="Q14" s="135" t="str">
        <f t="shared" si="3"/>
        <v/>
      </c>
      <c r="R14" s="137"/>
      <c r="S14" s="137" t="str">
        <f t="shared" si="4"/>
        <v/>
      </c>
      <c r="T14" s="43"/>
      <c r="U14" s="132"/>
      <c r="V14" s="127"/>
      <c r="W14" s="127"/>
      <c r="X14" s="138"/>
      <c r="Y14" s="133"/>
      <c r="Z14" s="131" t="str">
        <f t="shared" si="5"/>
        <v/>
      </c>
      <c r="AA14" s="72"/>
      <c r="AB14" s="5"/>
      <c r="AC14" s="81"/>
    </row>
    <row r="15" ht="18.0" customHeight="1">
      <c r="A15" s="6"/>
      <c r="B15" s="51" t="s">
        <v>34</v>
      </c>
      <c r="C15" s="54" t="s">
        <v>35</v>
      </c>
      <c r="D15" s="139"/>
      <c r="E15" s="132"/>
      <c r="F15" s="127"/>
      <c r="G15" s="127"/>
      <c r="H15" s="132"/>
      <c r="I15" s="133"/>
      <c r="J15" s="134"/>
      <c r="K15" s="133"/>
      <c r="L15" s="135" t="str">
        <f t="shared" si="1"/>
        <v/>
      </c>
      <c r="M15" s="127"/>
      <c r="N15" s="132"/>
      <c r="O15" s="136"/>
      <c r="P15" s="135" t="str">
        <f t="shared" si="2"/>
        <v/>
      </c>
      <c r="Q15" s="135" t="str">
        <f t="shared" si="3"/>
        <v/>
      </c>
      <c r="R15" s="137"/>
      <c r="S15" s="137" t="str">
        <f t="shared" si="4"/>
        <v/>
      </c>
      <c r="T15" s="78"/>
      <c r="U15" s="132"/>
      <c r="V15" s="127"/>
      <c r="W15" s="127"/>
      <c r="X15" s="138"/>
      <c r="Y15" s="133"/>
      <c r="Z15" s="131" t="str">
        <f t="shared" si="5"/>
        <v/>
      </c>
      <c r="AA15" s="72"/>
      <c r="AB15" s="5"/>
      <c r="AC15" s="5"/>
    </row>
    <row r="16" ht="18.0" customHeight="1">
      <c r="A16" s="6"/>
      <c r="B16" s="131">
        <f>SUM(B19,B22)</f>
        <v>-1265</v>
      </c>
      <c r="C16" s="143">
        <f>IF(B10=0,1,($B$16/$B$10)*-1)</f>
        <v>-0.3194444444</v>
      </c>
      <c r="D16" s="139"/>
      <c r="E16" s="132"/>
      <c r="F16" s="127"/>
      <c r="G16" s="127"/>
      <c r="H16" s="132"/>
      <c r="I16" s="133"/>
      <c r="J16" s="134"/>
      <c r="K16" s="133"/>
      <c r="L16" s="135" t="str">
        <f t="shared" si="1"/>
        <v/>
      </c>
      <c r="M16" s="127"/>
      <c r="N16" s="132"/>
      <c r="O16" s="136"/>
      <c r="P16" s="135" t="str">
        <f t="shared" si="2"/>
        <v/>
      </c>
      <c r="Q16" s="135" t="str">
        <f t="shared" si="3"/>
        <v/>
      </c>
      <c r="R16" s="137"/>
      <c r="S16" s="137" t="str">
        <f t="shared" si="4"/>
        <v/>
      </c>
      <c r="T16" s="78"/>
      <c r="U16" s="132"/>
      <c r="V16" s="127"/>
      <c r="W16" s="127"/>
      <c r="X16" s="138"/>
      <c r="Y16" s="133"/>
      <c r="Z16" s="131" t="str">
        <f t="shared" si="5"/>
        <v/>
      </c>
      <c r="AA16" s="72"/>
      <c r="AB16" s="5"/>
      <c r="AC16" s="5"/>
    </row>
    <row r="17" ht="18.0" customHeight="1">
      <c r="A17" s="75"/>
      <c r="B17" s="83"/>
      <c r="C17" s="83"/>
      <c r="D17" s="141"/>
      <c r="E17" s="132"/>
      <c r="F17" s="127"/>
      <c r="G17" s="127"/>
      <c r="H17" s="132"/>
      <c r="I17" s="133"/>
      <c r="J17" s="134"/>
      <c r="K17" s="133"/>
      <c r="L17" s="135" t="str">
        <f t="shared" si="1"/>
        <v/>
      </c>
      <c r="M17" s="127"/>
      <c r="N17" s="132"/>
      <c r="O17" s="136"/>
      <c r="P17" s="135" t="str">
        <f t="shared" si="2"/>
        <v/>
      </c>
      <c r="Q17" s="135" t="str">
        <f t="shared" si="3"/>
        <v/>
      </c>
      <c r="R17" s="137"/>
      <c r="S17" s="137" t="str">
        <f t="shared" si="4"/>
        <v/>
      </c>
      <c r="T17" s="78"/>
      <c r="U17" s="132"/>
      <c r="V17" s="127"/>
      <c r="W17" s="127"/>
      <c r="X17" s="138"/>
      <c r="Y17" s="133"/>
      <c r="Z17" s="131" t="str">
        <f t="shared" si="5"/>
        <v/>
      </c>
      <c r="AA17" s="72"/>
      <c r="AB17" s="5"/>
      <c r="AC17" s="5"/>
    </row>
    <row r="18" ht="18.0" customHeight="1">
      <c r="A18" s="75"/>
      <c r="B18" s="84" t="s">
        <v>36</v>
      </c>
      <c r="C18" s="85" t="s">
        <v>35</v>
      </c>
      <c r="D18" s="141"/>
      <c r="E18" s="132"/>
      <c r="F18" s="127"/>
      <c r="G18" s="127"/>
      <c r="H18" s="132"/>
      <c r="I18" s="133"/>
      <c r="J18" s="134"/>
      <c r="K18" s="133"/>
      <c r="L18" s="135" t="str">
        <f t="shared" si="1"/>
        <v/>
      </c>
      <c r="M18" s="127"/>
      <c r="N18" s="132"/>
      <c r="O18" s="136"/>
      <c r="P18" s="135" t="str">
        <f t="shared" si="2"/>
        <v/>
      </c>
      <c r="Q18" s="135" t="str">
        <f t="shared" si="3"/>
        <v/>
      </c>
      <c r="R18" s="137"/>
      <c r="S18" s="137" t="str">
        <f t="shared" si="4"/>
        <v/>
      </c>
      <c r="T18" s="78"/>
      <c r="U18" s="132"/>
      <c r="V18" s="127"/>
      <c r="W18" s="127"/>
      <c r="X18" s="138"/>
      <c r="Y18" s="133"/>
      <c r="Z18" s="131" t="str">
        <f t="shared" si="5"/>
        <v/>
      </c>
      <c r="AA18" s="72"/>
      <c r="AB18" s="5"/>
      <c r="AC18" s="5"/>
    </row>
    <row r="19" ht="18.0" customHeight="1">
      <c r="A19" s="75"/>
      <c r="B19" s="144">
        <f>C10+B10</f>
        <v>-1274</v>
      </c>
      <c r="C19" s="145">
        <f>IF(B19=0,0,($B$19/$B$10)*-1)</f>
        <v>-0.3217171717</v>
      </c>
      <c r="D19" s="141"/>
      <c r="E19" s="132"/>
      <c r="F19" s="127"/>
      <c r="G19" s="127"/>
      <c r="H19" s="132"/>
      <c r="I19" s="133"/>
      <c r="J19" s="134"/>
      <c r="K19" s="133"/>
      <c r="L19" s="135" t="str">
        <f t="shared" si="1"/>
        <v/>
      </c>
      <c r="M19" s="127"/>
      <c r="N19" s="132"/>
      <c r="O19" s="136"/>
      <c r="P19" s="135" t="str">
        <f t="shared" si="2"/>
        <v/>
      </c>
      <c r="Q19" s="135" t="str">
        <f t="shared" si="3"/>
        <v/>
      </c>
      <c r="R19" s="137"/>
      <c r="S19" s="137" t="str">
        <f t="shared" si="4"/>
        <v/>
      </c>
      <c r="T19" s="78"/>
      <c r="U19" s="132"/>
      <c r="V19" s="127"/>
      <c r="W19" s="127"/>
      <c r="X19" s="138"/>
      <c r="Y19" s="133"/>
      <c r="Z19" s="131" t="str">
        <f t="shared" si="5"/>
        <v/>
      </c>
      <c r="AA19" s="72"/>
      <c r="AB19" s="5"/>
      <c r="AC19" s="5"/>
    </row>
    <row r="20" ht="18.0" customHeight="1">
      <c r="A20" s="75"/>
      <c r="B20" s="88"/>
      <c r="C20" s="88"/>
      <c r="D20" s="141"/>
      <c r="E20" s="132"/>
      <c r="F20" s="127"/>
      <c r="G20" s="127"/>
      <c r="H20" s="132"/>
      <c r="I20" s="133"/>
      <c r="J20" s="134"/>
      <c r="K20" s="133"/>
      <c r="L20" s="135" t="str">
        <f t="shared" si="1"/>
        <v/>
      </c>
      <c r="M20" s="127"/>
      <c r="N20" s="132"/>
      <c r="O20" s="136"/>
      <c r="P20" s="135" t="str">
        <f t="shared" si="2"/>
        <v/>
      </c>
      <c r="Q20" s="135" t="str">
        <f t="shared" si="3"/>
        <v/>
      </c>
      <c r="R20" s="137"/>
      <c r="S20" s="137" t="str">
        <f t="shared" si="4"/>
        <v/>
      </c>
      <c r="T20" s="78"/>
      <c r="U20" s="132"/>
      <c r="V20" s="127"/>
      <c r="W20" s="127"/>
      <c r="X20" s="138"/>
      <c r="Y20" s="133"/>
      <c r="Z20" s="131" t="str">
        <f t="shared" si="5"/>
        <v/>
      </c>
      <c r="AA20" s="72"/>
      <c r="AB20" s="5"/>
      <c r="AC20" s="5"/>
    </row>
    <row r="21" ht="18.0" customHeight="1">
      <c r="A21" s="75"/>
      <c r="B21" s="84" t="s">
        <v>37</v>
      </c>
      <c r="C21" s="85" t="s">
        <v>35</v>
      </c>
      <c r="D21" s="141"/>
      <c r="E21" s="132"/>
      <c r="F21" s="127"/>
      <c r="G21" s="127"/>
      <c r="H21" s="132"/>
      <c r="I21" s="133"/>
      <c r="J21" s="134"/>
      <c r="K21" s="133"/>
      <c r="L21" s="135" t="str">
        <f t="shared" si="1"/>
        <v/>
      </c>
      <c r="M21" s="127"/>
      <c r="N21" s="132"/>
      <c r="O21" s="136"/>
      <c r="P21" s="135" t="str">
        <f t="shared" si="2"/>
        <v/>
      </c>
      <c r="Q21" s="135" t="str">
        <f t="shared" si="3"/>
        <v/>
      </c>
      <c r="R21" s="137"/>
      <c r="S21" s="137" t="str">
        <f t="shared" si="4"/>
        <v/>
      </c>
      <c r="T21" s="78"/>
      <c r="U21" s="132"/>
      <c r="V21" s="127"/>
      <c r="W21" s="127"/>
      <c r="X21" s="138"/>
      <c r="Y21" s="133"/>
      <c r="Z21" s="131" t="str">
        <f t="shared" si="5"/>
        <v/>
      </c>
      <c r="AA21" s="72"/>
      <c r="AB21" s="5"/>
      <c r="AC21" s="5"/>
    </row>
    <row r="22" ht="18.0" customHeight="1">
      <c r="A22" s="75"/>
      <c r="B22" s="144">
        <f>SUM(L7:L32)+SUM(P7:P32)</f>
        <v>9</v>
      </c>
      <c r="C22" s="145">
        <f>IF($B$10=0,1,($B$22/$B$10)*-1)</f>
        <v>0.002272727273</v>
      </c>
      <c r="D22" s="141"/>
      <c r="E22" s="132"/>
      <c r="F22" s="146"/>
      <c r="G22" s="127"/>
      <c r="H22" s="132"/>
      <c r="I22" s="133"/>
      <c r="J22" s="134"/>
      <c r="K22" s="133"/>
      <c r="L22" s="135" t="str">
        <f t="shared" si="1"/>
        <v/>
      </c>
      <c r="M22" s="127"/>
      <c r="N22" s="132"/>
      <c r="O22" s="136"/>
      <c r="P22" s="135" t="str">
        <f t="shared" si="2"/>
        <v/>
      </c>
      <c r="Q22" s="135" t="str">
        <f t="shared" si="3"/>
        <v/>
      </c>
      <c r="R22" s="137"/>
      <c r="S22" s="137" t="str">
        <f t="shared" si="4"/>
        <v/>
      </c>
      <c r="T22" s="78"/>
      <c r="U22" s="132"/>
      <c r="V22" s="127"/>
      <c r="W22" s="127"/>
      <c r="X22" s="138"/>
      <c r="Y22" s="133"/>
      <c r="Z22" s="131" t="str">
        <f t="shared" si="5"/>
        <v/>
      </c>
      <c r="AA22" s="72"/>
      <c r="AB22" s="5"/>
      <c r="AC22" s="5"/>
    </row>
    <row r="23" ht="18.0" customHeight="1">
      <c r="A23" s="75"/>
      <c r="B23" s="88"/>
      <c r="C23" s="88"/>
      <c r="D23" s="141"/>
      <c r="E23" s="132"/>
      <c r="F23" s="127"/>
      <c r="G23" s="127"/>
      <c r="H23" s="132"/>
      <c r="I23" s="133"/>
      <c r="J23" s="134"/>
      <c r="K23" s="133"/>
      <c r="L23" s="135" t="str">
        <f t="shared" si="1"/>
        <v/>
      </c>
      <c r="M23" s="127"/>
      <c r="N23" s="132"/>
      <c r="O23" s="136"/>
      <c r="P23" s="135" t="str">
        <f t="shared" si="2"/>
        <v/>
      </c>
      <c r="Q23" s="135" t="str">
        <f t="shared" si="3"/>
        <v/>
      </c>
      <c r="R23" s="137"/>
      <c r="S23" s="137" t="str">
        <f t="shared" si="4"/>
        <v/>
      </c>
      <c r="T23" s="78"/>
      <c r="U23" s="132"/>
      <c r="V23" s="127"/>
      <c r="W23" s="127"/>
      <c r="X23" s="138"/>
      <c r="Y23" s="133"/>
      <c r="Z23" s="131" t="str">
        <f t="shared" si="5"/>
        <v/>
      </c>
      <c r="AA23" s="72"/>
      <c r="AB23" s="5"/>
      <c r="AC23" s="5"/>
    </row>
    <row r="24" ht="18.0" customHeight="1">
      <c r="A24" s="75"/>
      <c r="B24" s="84" t="s">
        <v>38</v>
      </c>
      <c r="C24" s="92" t="s">
        <v>35</v>
      </c>
      <c r="D24" s="141"/>
      <c r="E24" s="132"/>
      <c r="F24" s="127"/>
      <c r="G24" s="127"/>
      <c r="H24" s="132"/>
      <c r="I24" s="133"/>
      <c r="J24" s="134"/>
      <c r="K24" s="133"/>
      <c r="L24" s="135" t="str">
        <f t="shared" si="1"/>
        <v/>
      </c>
      <c r="M24" s="127"/>
      <c r="N24" s="132"/>
      <c r="O24" s="136"/>
      <c r="P24" s="135" t="str">
        <f t="shared" si="2"/>
        <v/>
      </c>
      <c r="Q24" s="135" t="str">
        <f t="shared" si="3"/>
        <v/>
      </c>
      <c r="R24" s="137"/>
      <c r="S24" s="137" t="str">
        <f t="shared" si="4"/>
        <v/>
      </c>
      <c r="T24" s="78"/>
      <c r="U24" s="132"/>
      <c r="V24" s="127"/>
      <c r="W24" s="127"/>
      <c r="X24" s="138"/>
      <c r="Y24" s="133"/>
      <c r="Z24" s="131" t="str">
        <f t="shared" si="5"/>
        <v/>
      </c>
      <c r="AA24" s="72"/>
      <c r="AB24" s="5"/>
      <c r="AC24" s="5"/>
    </row>
    <row r="25" ht="18.0" customHeight="1">
      <c r="A25" s="75"/>
      <c r="B25" s="144">
        <f>IF(SUM(X7:X32)=0,0,(SUM(X7:X32)*C31)+B10)</f>
        <v>140</v>
      </c>
      <c r="C25" s="145">
        <f>IF(B25=0,0,($B$25/$B$10)*-1)</f>
        <v>0.03535353535</v>
      </c>
      <c r="D25" s="141"/>
      <c r="E25" s="132"/>
      <c r="F25" s="127"/>
      <c r="G25" s="127"/>
      <c r="H25" s="132"/>
      <c r="I25" s="133"/>
      <c r="J25" s="134"/>
      <c r="K25" s="133"/>
      <c r="L25" s="135" t="str">
        <f t="shared" si="1"/>
        <v/>
      </c>
      <c r="M25" s="127"/>
      <c r="N25" s="132"/>
      <c r="O25" s="136"/>
      <c r="P25" s="135" t="str">
        <f t="shared" si="2"/>
        <v/>
      </c>
      <c r="Q25" s="135" t="str">
        <f t="shared" si="3"/>
        <v/>
      </c>
      <c r="R25" s="137"/>
      <c r="S25" s="137" t="str">
        <f t="shared" si="4"/>
        <v/>
      </c>
      <c r="T25" s="78"/>
      <c r="U25" s="147"/>
      <c r="V25" s="147"/>
      <c r="W25" s="147"/>
      <c r="X25" s="147"/>
      <c r="Y25" s="148"/>
      <c r="Z25" s="131" t="str">
        <f t="shared" si="5"/>
        <v/>
      </c>
      <c r="AA25" s="72"/>
      <c r="AB25" s="5"/>
      <c r="AC25" s="5"/>
    </row>
    <row r="26" ht="18.0" customHeight="1">
      <c r="A26" s="75"/>
      <c r="B26" s="88"/>
      <c r="C26" s="88"/>
      <c r="D26" s="141"/>
      <c r="E26" s="132"/>
      <c r="F26" s="127"/>
      <c r="G26" s="127"/>
      <c r="H26" s="132"/>
      <c r="I26" s="133"/>
      <c r="J26" s="134"/>
      <c r="K26" s="133"/>
      <c r="L26" s="135" t="str">
        <f t="shared" si="1"/>
        <v/>
      </c>
      <c r="M26" s="127"/>
      <c r="N26" s="132"/>
      <c r="O26" s="136"/>
      <c r="P26" s="135" t="str">
        <f t="shared" si="2"/>
        <v/>
      </c>
      <c r="Q26" s="135" t="str">
        <f t="shared" si="3"/>
        <v/>
      </c>
      <c r="R26" s="137"/>
      <c r="S26" s="137" t="str">
        <f t="shared" si="4"/>
        <v/>
      </c>
      <c r="T26" s="78"/>
      <c r="U26" s="147"/>
      <c r="V26" s="147"/>
      <c r="W26" s="147"/>
      <c r="X26" s="147"/>
      <c r="Y26" s="148"/>
      <c r="Z26" s="131" t="str">
        <f t="shared" si="5"/>
        <v/>
      </c>
      <c r="AA26" s="72"/>
      <c r="AB26" s="5"/>
      <c r="AC26" s="5"/>
    </row>
    <row r="27" ht="18.0" customHeight="1">
      <c r="A27" s="75"/>
      <c r="B27" s="84" t="s">
        <v>39</v>
      </c>
      <c r="C27" s="92" t="s">
        <v>35</v>
      </c>
      <c r="D27" s="141"/>
      <c r="E27" s="132"/>
      <c r="F27" s="127"/>
      <c r="G27" s="127"/>
      <c r="H27" s="132"/>
      <c r="I27" s="133"/>
      <c r="J27" s="134"/>
      <c r="K27" s="133"/>
      <c r="L27" s="135" t="str">
        <f t="shared" si="1"/>
        <v/>
      </c>
      <c r="M27" s="127"/>
      <c r="N27" s="132"/>
      <c r="O27" s="136"/>
      <c r="P27" s="135" t="str">
        <f t="shared" si="2"/>
        <v/>
      </c>
      <c r="Q27" s="135" t="str">
        <f t="shared" si="3"/>
        <v/>
      </c>
      <c r="R27" s="137"/>
      <c r="S27" s="137" t="str">
        <f t="shared" si="4"/>
        <v/>
      </c>
      <c r="T27" s="78"/>
      <c r="U27" s="147"/>
      <c r="V27" s="147"/>
      <c r="W27" s="147"/>
      <c r="X27" s="147"/>
      <c r="Y27" s="148"/>
      <c r="Z27" s="131" t="str">
        <f t="shared" si="5"/>
        <v/>
      </c>
      <c r="AA27" s="95"/>
      <c r="AB27" s="5"/>
      <c r="AC27" s="5"/>
    </row>
    <row r="28" ht="18.0" customHeight="1">
      <c r="A28" s="75"/>
      <c r="B28" s="144">
        <f>SUM(B22,B25)</f>
        <v>149</v>
      </c>
      <c r="C28" s="145">
        <f>IF(B10=0,1,($B$25/$B$10)*-1)</f>
        <v>0.03535353535</v>
      </c>
      <c r="D28" s="141"/>
      <c r="E28" s="132"/>
      <c r="F28" s="127"/>
      <c r="G28" s="127"/>
      <c r="H28" s="132"/>
      <c r="I28" s="133"/>
      <c r="J28" s="134"/>
      <c r="K28" s="133"/>
      <c r="L28" s="135" t="str">
        <f t="shared" si="1"/>
        <v/>
      </c>
      <c r="M28" s="127"/>
      <c r="N28" s="132"/>
      <c r="O28" s="136"/>
      <c r="P28" s="135" t="str">
        <f t="shared" si="2"/>
        <v/>
      </c>
      <c r="Q28" s="135" t="str">
        <f t="shared" si="3"/>
        <v/>
      </c>
      <c r="R28" s="137"/>
      <c r="S28" s="137" t="str">
        <f t="shared" si="4"/>
        <v/>
      </c>
      <c r="T28" s="78"/>
      <c r="U28" s="147"/>
      <c r="V28" s="147"/>
      <c r="W28" s="147"/>
      <c r="X28" s="147"/>
      <c r="Y28" s="148"/>
      <c r="Z28" s="131" t="str">
        <f t="shared" si="5"/>
        <v/>
      </c>
      <c r="AA28" s="95"/>
      <c r="AB28" s="5"/>
      <c r="AC28" s="5"/>
    </row>
    <row r="29" ht="18.0" customHeight="1">
      <c r="A29" s="75"/>
      <c r="B29" s="88"/>
      <c r="C29" s="88"/>
      <c r="D29" s="141"/>
      <c r="E29" s="132"/>
      <c r="F29" s="127"/>
      <c r="G29" s="127"/>
      <c r="H29" s="132"/>
      <c r="I29" s="133"/>
      <c r="J29" s="134"/>
      <c r="K29" s="133"/>
      <c r="L29" s="135" t="str">
        <f t="shared" si="1"/>
        <v/>
      </c>
      <c r="M29" s="127"/>
      <c r="N29" s="132"/>
      <c r="O29" s="136"/>
      <c r="P29" s="135" t="str">
        <f t="shared" si="2"/>
        <v/>
      </c>
      <c r="Q29" s="135" t="str">
        <f t="shared" si="3"/>
        <v/>
      </c>
      <c r="R29" s="137"/>
      <c r="S29" s="137" t="str">
        <f t="shared" si="4"/>
        <v/>
      </c>
      <c r="T29" s="78"/>
      <c r="U29" s="147"/>
      <c r="V29" s="147"/>
      <c r="W29" s="147"/>
      <c r="X29" s="147"/>
      <c r="Y29" s="148"/>
      <c r="Z29" s="131" t="str">
        <f t="shared" si="5"/>
        <v/>
      </c>
      <c r="AA29" s="95"/>
      <c r="AB29" s="5"/>
      <c r="AC29" s="5"/>
    </row>
    <row r="30" ht="18.0" customHeight="1">
      <c r="A30" s="75"/>
      <c r="B30" s="96" t="s">
        <v>40</v>
      </c>
      <c r="C30" s="51" t="s">
        <v>41</v>
      </c>
      <c r="D30" s="141"/>
      <c r="E30" s="132"/>
      <c r="F30" s="127"/>
      <c r="G30" s="127"/>
      <c r="H30" s="132"/>
      <c r="I30" s="133"/>
      <c r="J30" s="134"/>
      <c r="K30" s="133"/>
      <c r="L30" s="135" t="str">
        <f t="shared" si="1"/>
        <v/>
      </c>
      <c r="M30" s="127"/>
      <c r="N30" s="132"/>
      <c r="O30" s="136"/>
      <c r="P30" s="135" t="str">
        <f t="shared" si="2"/>
        <v/>
      </c>
      <c r="Q30" s="135" t="str">
        <f t="shared" si="3"/>
        <v/>
      </c>
      <c r="R30" s="137"/>
      <c r="S30" s="137" t="str">
        <f t="shared" si="4"/>
        <v/>
      </c>
      <c r="T30" s="78"/>
      <c r="U30" s="147"/>
      <c r="V30" s="147"/>
      <c r="W30" s="147"/>
      <c r="X30" s="147"/>
      <c r="Y30" s="148"/>
      <c r="Z30" s="131" t="str">
        <f t="shared" si="5"/>
        <v/>
      </c>
      <c r="AA30" s="72"/>
      <c r="AB30" s="5"/>
      <c r="AC30" s="5"/>
    </row>
    <row r="31" ht="18.0" customHeight="1">
      <c r="A31" s="75"/>
      <c r="B31" s="137">
        <f t="array" ref="B31">LOOKUP(2,1/(J:J&lt;&gt;""),J:J)</f>
        <v>1</v>
      </c>
      <c r="C31" s="149">
        <f t="array" ref="C31">LOOKUP(2,1/(I:I&lt;&gt;""),I:I)</f>
        <v>41</v>
      </c>
      <c r="D31" s="141"/>
      <c r="E31" s="132"/>
      <c r="F31" s="127"/>
      <c r="G31" s="127"/>
      <c r="H31" s="132"/>
      <c r="I31" s="133"/>
      <c r="J31" s="134"/>
      <c r="K31" s="133"/>
      <c r="L31" s="135" t="str">
        <f t="shared" si="1"/>
        <v/>
      </c>
      <c r="M31" s="127"/>
      <c r="N31" s="132"/>
      <c r="O31" s="136"/>
      <c r="P31" s="135" t="str">
        <f t="shared" si="2"/>
        <v/>
      </c>
      <c r="Q31" s="135" t="str">
        <f t="shared" si="3"/>
        <v/>
      </c>
      <c r="R31" s="137"/>
      <c r="S31" s="137" t="str">
        <f t="shared" si="4"/>
        <v/>
      </c>
      <c r="T31" s="78"/>
      <c r="U31" s="147"/>
      <c r="V31" s="147"/>
      <c r="W31" s="147"/>
      <c r="X31" s="147"/>
      <c r="Y31" s="148"/>
      <c r="Z31" s="131" t="str">
        <f t="shared" si="5"/>
        <v/>
      </c>
      <c r="AA31" s="72"/>
      <c r="AB31" s="5"/>
      <c r="AC31" s="5"/>
    </row>
    <row r="32" ht="18.0" customHeight="1">
      <c r="A32" s="99"/>
      <c r="B32" s="100"/>
      <c r="C32" s="100"/>
      <c r="D32" s="150"/>
      <c r="E32" s="132"/>
      <c r="F32" s="127"/>
      <c r="G32" s="127"/>
      <c r="H32" s="132"/>
      <c r="I32" s="133"/>
      <c r="J32" s="134"/>
      <c r="K32" s="133"/>
      <c r="L32" s="135" t="str">
        <f t="shared" si="1"/>
        <v/>
      </c>
      <c r="M32" s="127"/>
      <c r="N32" s="132"/>
      <c r="O32" s="136"/>
      <c r="P32" s="135" t="str">
        <f t="shared" si="2"/>
        <v/>
      </c>
      <c r="Q32" s="135" t="str">
        <f t="shared" si="3"/>
        <v/>
      </c>
      <c r="R32" s="137"/>
      <c r="S32" s="137" t="str">
        <f t="shared" si="4"/>
        <v/>
      </c>
      <c r="T32" s="78"/>
      <c r="U32" s="147"/>
      <c r="V32" s="147"/>
      <c r="W32" s="147"/>
      <c r="X32" s="147"/>
      <c r="Y32" s="148"/>
      <c r="Z32" s="131"/>
      <c r="AA32" s="72"/>
      <c r="AB32" s="5"/>
      <c r="AC32" s="5"/>
    </row>
    <row r="33" ht="18.0" customHeight="1">
      <c r="A33" s="102"/>
      <c r="B33" s="103"/>
      <c r="C33" s="103"/>
      <c r="D33" s="103"/>
      <c r="E33" s="151"/>
      <c r="F33" s="152"/>
      <c r="G33" s="152"/>
      <c r="H33" s="151"/>
      <c r="I33" s="152"/>
      <c r="J33" s="152"/>
      <c r="K33" s="152"/>
      <c r="L33" s="153"/>
      <c r="M33" s="153"/>
      <c r="N33" s="153"/>
      <c r="O33" s="153"/>
      <c r="P33" s="153"/>
      <c r="Q33" s="153"/>
      <c r="R33" s="153"/>
      <c r="S33" s="153"/>
      <c r="T33" s="103"/>
      <c r="U33" s="107"/>
      <c r="V33" s="107"/>
      <c r="W33" s="107"/>
      <c r="X33" s="107"/>
      <c r="Y33" s="107"/>
      <c r="Z33" s="107"/>
      <c r="AA33" s="108"/>
      <c r="AB33" s="5"/>
      <c r="AC33" s="5"/>
    </row>
    <row r="34" ht="18.0" customHeight="1">
      <c r="A34" s="109"/>
      <c r="B34" s="110"/>
      <c r="C34" s="111"/>
      <c r="D34" s="112"/>
      <c r="E34" s="113"/>
      <c r="F34" s="114"/>
      <c r="G34" s="114"/>
      <c r="H34" s="113"/>
      <c r="I34" s="114"/>
      <c r="J34" s="114"/>
      <c r="K34" s="114"/>
      <c r="L34" s="110"/>
      <c r="M34" s="110"/>
      <c r="N34" s="110"/>
      <c r="O34" s="110"/>
      <c r="P34" s="110"/>
      <c r="Q34" s="110"/>
      <c r="R34" s="110"/>
      <c r="S34" s="110"/>
      <c r="T34" s="112"/>
      <c r="U34" s="5"/>
      <c r="V34" s="5"/>
      <c r="W34" s="5"/>
      <c r="X34" s="5"/>
      <c r="Y34" s="5"/>
      <c r="Z34" s="5"/>
      <c r="AA34" s="112"/>
      <c r="AB34" s="5"/>
      <c r="AC34" s="5"/>
    </row>
    <row r="35" ht="18.0" customHeight="1">
      <c r="A35" s="109"/>
      <c r="B35" s="110"/>
      <c r="C35" s="111"/>
      <c r="D35" s="112"/>
      <c r="E35" s="113"/>
      <c r="F35" s="115"/>
      <c r="G35" s="115"/>
      <c r="H35" s="113"/>
      <c r="I35" s="115"/>
      <c r="J35" s="115"/>
      <c r="K35" s="115"/>
      <c r="L35" s="110"/>
      <c r="M35" s="110"/>
      <c r="N35" s="110"/>
      <c r="O35" s="110"/>
      <c r="P35" s="110"/>
      <c r="Q35" s="110"/>
      <c r="R35" s="110"/>
      <c r="S35" s="110"/>
      <c r="T35" s="112"/>
      <c r="U35" s="5"/>
      <c r="V35" s="5"/>
      <c r="W35" s="5"/>
      <c r="X35" s="5"/>
      <c r="Y35" s="5"/>
      <c r="Z35" s="5"/>
      <c r="AA35" s="112"/>
      <c r="AB35" s="5"/>
      <c r="AC35" s="5"/>
    </row>
    <row r="36" ht="18.0" customHeight="1">
      <c r="A36" s="109"/>
      <c r="B36" s="110"/>
      <c r="C36" s="111"/>
      <c r="D36" s="112"/>
      <c r="E36" s="113"/>
      <c r="F36" s="114"/>
      <c r="G36" s="114"/>
      <c r="H36" s="113"/>
      <c r="I36" s="114"/>
      <c r="J36" s="114"/>
      <c r="K36" s="114"/>
      <c r="L36" s="110"/>
      <c r="M36" s="110"/>
      <c r="N36" s="110"/>
      <c r="O36" s="110"/>
      <c r="P36" s="110"/>
      <c r="Q36" s="110"/>
      <c r="R36" s="110"/>
      <c r="S36" s="110"/>
      <c r="T36" s="112"/>
      <c r="U36" s="5"/>
      <c r="V36" s="5"/>
      <c r="W36" s="5"/>
      <c r="X36" s="5"/>
      <c r="Y36" s="5"/>
      <c r="Z36" s="5"/>
      <c r="AA36" s="112"/>
      <c r="AB36" s="5"/>
      <c r="AC36" s="5"/>
    </row>
    <row r="37" ht="18.0" customHeight="1">
      <c r="A37" s="109"/>
      <c r="B37" s="110"/>
      <c r="C37" s="111"/>
      <c r="D37" s="112"/>
      <c r="E37" s="113"/>
      <c r="F37" s="114"/>
      <c r="G37" s="114"/>
      <c r="H37" s="113"/>
      <c r="I37" s="114"/>
      <c r="J37" s="114"/>
      <c r="K37" s="114"/>
      <c r="L37" s="110"/>
      <c r="M37" s="110"/>
      <c r="N37" s="110"/>
      <c r="O37" s="110"/>
      <c r="P37" s="110"/>
      <c r="Q37" s="110"/>
      <c r="R37" s="110"/>
      <c r="S37" s="110"/>
      <c r="T37" s="112"/>
      <c r="U37" s="5"/>
      <c r="V37" s="5"/>
      <c r="W37" s="5"/>
      <c r="X37" s="5"/>
      <c r="Y37" s="5"/>
      <c r="Z37" s="5"/>
      <c r="AA37" s="112"/>
      <c r="AB37" s="5"/>
      <c r="AC37" s="5"/>
    </row>
    <row r="38" ht="18.0" customHeight="1">
      <c r="A38" s="109"/>
      <c r="B38" s="110"/>
      <c r="C38" s="111"/>
      <c r="D38" s="112"/>
      <c r="E38" s="113"/>
      <c r="F38" s="114"/>
      <c r="G38" s="114"/>
      <c r="H38" s="113"/>
      <c r="I38" s="114"/>
      <c r="J38" s="114"/>
      <c r="K38" s="114"/>
      <c r="L38" s="110"/>
      <c r="M38" s="110"/>
      <c r="N38" s="110"/>
      <c r="O38" s="110"/>
      <c r="P38" s="110"/>
      <c r="Q38" s="110"/>
      <c r="R38" s="110"/>
      <c r="S38" s="110"/>
      <c r="T38" s="112"/>
      <c r="U38" s="5"/>
      <c r="V38" s="5"/>
      <c r="W38" s="5"/>
      <c r="X38" s="5"/>
      <c r="Y38" s="5"/>
      <c r="Z38" s="5"/>
      <c r="AA38" s="112"/>
      <c r="AB38" s="5"/>
      <c r="AC38" s="5"/>
    </row>
    <row r="39" ht="18.0" customHeight="1">
      <c r="A39" s="109"/>
      <c r="B39" s="110"/>
      <c r="C39" s="111"/>
      <c r="D39" s="112"/>
      <c r="E39" s="113"/>
      <c r="F39" s="114"/>
      <c r="G39" s="114"/>
      <c r="H39" s="113"/>
      <c r="I39" s="114"/>
      <c r="J39" s="114"/>
      <c r="K39" s="114"/>
      <c r="L39" s="110"/>
      <c r="M39" s="110"/>
      <c r="N39" s="110"/>
      <c r="O39" s="110"/>
      <c r="P39" s="110"/>
      <c r="Q39" s="110"/>
      <c r="R39" s="110"/>
      <c r="S39" s="110"/>
      <c r="T39" s="112"/>
      <c r="U39" s="5"/>
      <c r="V39" s="5"/>
      <c r="W39" s="5"/>
      <c r="X39" s="5"/>
      <c r="Y39" s="5"/>
      <c r="Z39" s="5"/>
      <c r="AA39" s="112"/>
      <c r="AB39" s="5"/>
      <c r="AC39" s="5"/>
    </row>
    <row r="40" ht="18.0" customHeight="1">
      <c r="A40" s="109"/>
      <c r="B40" s="110"/>
      <c r="C40" s="111"/>
      <c r="D40" s="112"/>
      <c r="E40" s="113"/>
      <c r="F40" s="114"/>
      <c r="G40" s="114"/>
      <c r="H40" s="113"/>
      <c r="I40" s="114"/>
      <c r="J40" s="114"/>
      <c r="K40" s="114"/>
      <c r="L40" s="110"/>
      <c r="M40" s="110"/>
      <c r="N40" s="110"/>
      <c r="O40" s="110"/>
      <c r="P40" s="110"/>
      <c r="Q40" s="110"/>
      <c r="R40" s="110"/>
      <c r="S40" s="110"/>
      <c r="T40" s="112"/>
      <c r="U40" s="5"/>
      <c r="V40" s="5"/>
      <c r="W40" s="5"/>
      <c r="X40" s="5"/>
      <c r="Y40" s="5"/>
      <c r="Z40" s="5"/>
      <c r="AA40" s="112"/>
      <c r="AB40" s="5"/>
      <c r="AC40" s="5"/>
    </row>
    <row r="41" ht="18.0" customHeight="1">
      <c r="A41" s="109"/>
      <c r="B41" s="110"/>
      <c r="C41" s="111"/>
      <c r="D41" s="112"/>
      <c r="E41" s="113"/>
      <c r="F41" s="114"/>
      <c r="G41" s="114"/>
      <c r="H41" s="113"/>
      <c r="I41" s="114"/>
      <c r="J41" s="114"/>
      <c r="K41" s="114"/>
      <c r="L41" s="110"/>
      <c r="M41" s="110"/>
      <c r="N41" s="110"/>
      <c r="O41" s="110"/>
      <c r="P41" s="110"/>
      <c r="Q41" s="110"/>
      <c r="R41" s="110"/>
      <c r="S41" s="110"/>
      <c r="T41" s="112"/>
      <c r="U41" s="5"/>
      <c r="V41" s="5"/>
      <c r="W41" s="5"/>
      <c r="X41" s="5"/>
      <c r="Y41" s="5"/>
      <c r="Z41" s="5"/>
      <c r="AA41" s="112"/>
      <c r="AB41" s="5"/>
      <c r="AC41" s="5"/>
    </row>
    <row r="42" ht="18.0" customHeight="1">
      <c r="A42" s="109"/>
      <c r="B42" s="110"/>
      <c r="C42" s="111"/>
      <c r="D42" s="112"/>
      <c r="E42" s="113"/>
      <c r="F42" s="114"/>
      <c r="G42" s="114"/>
      <c r="H42" s="113"/>
      <c r="I42" s="114"/>
      <c r="J42" s="114"/>
      <c r="K42" s="114"/>
      <c r="L42" s="110"/>
      <c r="M42" s="110"/>
      <c r="N42" s="110"/>
      <c r="O42" s="110"/>
      <c r="P42" s="110"/>
      <c r="Q42" s="110"/>
      <c r="R42" s="110"/>
      <c r="S42" s="110"/>
      <c r="T42" s="112"/>
      <c r="U42" s="5"/>
      <c r="V42" s="5"/>
      <c r="W42" s="5"/>
      <c r="X42" s="5"/>
      <c r="Y42" s="5"/>
      <c r="Z42" s="5"/>
      <c r="AA42" s="112"/>
      <c r="AB42" s="5"/>
      <c r="AC42" s="5"/>
    </row>
    <row r="43" ht="18.0" customHeight="1">
      <c r="A43" s="109"/>
      <c r="B43" s="110"/>
      <c r="C43" s="111"/>
      <c r="D43" s="112"/>
      <c r="E43" s="113"/>
      <c r="F43" s="114"/>
      <c r="G43" s="114"/>
      <c r="H43" s="113"/>
      <c r="I43" s="114"/>
      <c r="J43" s="114"/>
      <c r="K43" s="114"/>
      <c r="L43" s="110"/>
      <c r="M43" s="110"/>
      <c r="N43" s="110"/>
      <c r="O43" s="110"/>
      <c r="P43" s="110"/>
      <c r="Q43" s="110"/>
      <c r="R43" s="110"/>
      <c r="S43" s="110"/>
      <c r="T43" s="112"/>
      <c r="U43" s="5"/>
      <c r="V43" s="5"/>
      <c r="W43" s="5"/>
      <c r="X43" s="5"/>
      <c r="Y43" s="5"/>
      <c r="Z43" s="5"/>
      <c r="AA43" s="112"/>
      <c r="AB43" s="5"/>
      <c r="AC43" s="5"/>
    </row>
    <row r="44" ht="18.0" customHeight="1">
      <c r="A44" s="109"/>
      <c r="B44" s="110"/>
      <c r="C44" s="111"/>
      <c r="D44" s="112"/>
      <c r="E44" s="113"/>
      <c r="F44" s="114"/>
      <c r="G44" s="114"/>
      <c r="H44" s="113"/>
      <c r="I44" s="114"/>
      <c r="J44" s="114"/>
      <c r="K44" s="114"/>
      <c r="L44" s="110"/>
      <c r="M44" s="110"/>
      <c r="N44" s="110"/>
      <c r="O44" s="110"/>
      <c r="P44" s="110"/>
      <c r="Q44" s="110"/>
      <c r="R44" s="110"/>
      <c r="S44" s="110"/>
      <c r="T44" s="112"/>
      <c r="U44" s="5"/>
      <c r="V44" s="5"/>
      <c r="W44" s="5"/>
      <c r="X44" s="5"/>
      <c r="Y44" s="5"/>
      <c r="Z44" s="5"/>
      <c r="AA44" s="112"/>
      <c r="AB44" s="5"/>
      <c r="AC44" s="5"/>
    </row>
    <row r="45" ht="18.0" customHeight="1">
      <c r="A45" s="109"/>
      <c r="B45" s="110"/>
      <c r="C45" s="111"/>
      <c r="D45" s="112"/>
      <c r="E45" s="113"/>
      <c r="F45" s="114"/>
      <c r="G45" s="114"/>
      <c r="H45" s="113"/>
      <c r="I45" s="114"/>
      <c r="J45" s="114"/>
      <c r="K45" s="114"/>
      <c r="L45" s="110"/>
      <c r="M45" s="110"/>
      <c r="N45" s="110"/>
      <c r="O45" s="110"/>
      <c r="P45" s="110"/>
      <c r="Q45" s="110"/>
      <c r="R45" s="110"/>
      <c r="S45" s="110"/>
      <c r="T45" s="112"/>
      <c r="U45" s="5"/>
      <c r="V45" s="5"/>
      <c r="W45" s="5"/>
      <c r="X45" s="5"/>
      <c r="Y45" s="5"/>
      <c r="Z45" s="5"/>
      <c r="AA45" s="112"/>
      <c r="AB45" s="5"/>
      <c r="AC45" s="5"/>
    </row>
    <row r="46" ht="18.0" customHeight="1">
      <c r="A46" s="109"/>
      <c r="B46" s="110"/>
      <c r="C46" s="111"/>
      <c r="D46" s="112"/>
      <c r="E46" s="113"/>
      <c r="F46" s="114"/>
      <c r="G46" s="114"/>
      <c r="H46" s="113"/>
      <c r="I46" s="114"/>
      <c r="J46" s="114"/>
      <c r="K46" s="114"/>
      <c r="L46" s="110"/>
      <c r="M46" s="110"/>
      <c r="N46" s="110"/>
      <c r="O46" s="110"/>
      <c r="P46" s="110"/>
      <c r="Q46" s="110"/>
      <c r="R46" s="110"/>
      <c r="S46" s="110"/>
      <c r="T46" s="112"/>
      <c r="U46" s="5"/>
      <c r="V46" s="5"/>
      <c r="W46" s="5"/>
      <c r="X46" s="5"/>
      <c r="Y46" s="5"/>
      <c r="Z46" s="5"/>
      <c r="AA46" s="112"/>
      <c r="AB46" s="5"/>
      <c r="AC46" s="5"/>
    </row>
    <row r="47" ht="18.0" customHeight="1">
      <c r="A47" s="109"/>
      <c r="B47" s="110"/>
      <c r="C47" s="111"/>
      <c r="D47" s="112"/>
      <c r="E47" s="113"/>
      <c r="F47" s="114"/>
      <c r="G47" s="114"/>
      <c r="H47" s="113"/>
      <c r="I47" s="114"/>
      <c r="J47" s="114"/>
      <c r="K47" s="114"/>
      <c r="L47" s="110"/>
      <c r="M47" s="110"/>
      <c r="N47" s="110"/>
      <c r="O47" s="110"/>
      <c r="P47" s="110"/>
      <c r="Q47" s="110"/>
      <c r="R47" s="110"/>
      <c r="S47" s="110"/>
      <c r="T47" s="112"/>
      <c r="U47" s="5"/>
      <c r="V47" s="5"/>
      <c r="W47" s="5"/>
      <c r="X47" s="5"/>
      <c r="Y47" s="5"/>
      <c r="Z47" s="5"/>
      <c r="AA47" s="112"/>
      <c r="AB47" s="5"/>
      <c r="AC47" s="5"/>
    </row>
    <row r="48" ht="18.0" customHeight="1">
      <c r="A48" s="109"/>
      <c r="B48" s="110"/>
      <c r="C48" s="111"/>
      <c r="D48" s="112"/>
      <c r="E48" s="113"/>
      <c r="F48" s="114"/>
      <c r="G48" s="114"/>
      <c r="H48" s="113"/>
      <c r="I48" s="114"/>
      <c r="J48" s="114"/>
      <c r="K48" s="114"/>
      <c r="L48" s="110"/>
      <c r="M48" s="110"/>
      <c r="N48" s="110"/>
      <c r="O48" s="110"/>
      <c r="P48" s="110"/>
      <c r="Q48" s="110"/>
      <c r="R48" s="110"/>
      <c r="S48" s="110"/>
      <c r="T48" s="112"/>
      <c r="U48" s="5"/>
      <c r="V48" s="5"/>
      <c r="W48" s="5"/>
      <c r="X48" s="5"/>
      <c r="Y48" s="5"/>
      <c r="Z48" s="5"/>
      <c r="AA48" s="112"/>
      <c r="AB48" s="5"/>
      <c r="AC48" s="5"/>
    </row>
    <row r="49" ht="18.0" customHeight="1">
      <c r="A49" s="109"/>
      <c r="B49" s="110"/>
      <c r="C49" s="111"/>
      <c r="D49" s="112"/>
      <c r="E49" s="113"/>
      <c r="F49" s="114"/>
      <c r="G49" s="114"/>
      <c r="H49" s="113"/>
      <c r="I49" s="114"/>
      <c r="J49" s="114"/>
      <c r="K49" s="114"/>
      <c r="L49" s="110"/>
      <c r="M49" s="110"/>
      <c r="N49" s="110"/>
      <c r="O49" s="110"/>
      <c r="P49" s="110"/>
      <c r="Q49" s="110"/>
      <c r="R49" s="110"/>
      <c r="S49" s="110"/>
      <c r="T49" s="112"/>
      <c r="U49" s="5"/>
      <c r="V49" s="5"/>
      <c r="W49" s="5"/>
      <c r="X49" s="5"/>
      <c r="Y49" s="5"/>
      <c r="Z49" s="5"/>
      <c r="AA49" s="112"/>
      <c r="AB49" s="5"/>
      <c r="AC49" s="5"/>
    </row>
    <row r="50" ht="18.0" customHeight="1">
      <c r="A50" s="109"/>
      <c r="B50" s="110"/>
      <c r="C50" s="111"/>
      <c r="D50" s="112"/>
      <c r="E50" s="113"/>
      <c r="F50" s="114"/>
      <c r="G50" s="114"/>
      <c r="H50" s="113"/>
      <c r="I50" s="114"/>
      <c r="J50" s="114"/>
      <c r="K50" s="114"/>
      <c r="L50" s="110"/>
      <c r="M50" s="110"/>
      <c r="N50" s="110"/>
      <c r="O50" s="110"/>
      <c r="P50" s="110"/>
      <c r="Q50" s="110"/>
      <c r="R50" s="110"/>
      <c r="S50" s="110"/>
      <c r="T50" s="112"/>
      <c r="U50" s="5"/>
      <c r="V50" s="5"/>
      <c r="W50" s="5"/>
      <c r="X50" s="5"/>
      <c r="Y50" s="5"/>
      <c r="Z50" s="5"/>
      <c r="AA50" s="112"/>
      <c r="AB50" s="5"/>
      <c r="AC50" s="5"/>
    </row>
    <row r="51" ht="18.0" customHeight="1">
      <c r="A51" s="109"/>
      <c r="B51" s="110"/>
      <c r="C51" s="111"/>
      <c r="D51" s="112"/>
      <c r="E51" s="113"/>
      <c r="F51" s="114"/>
      <c r="G51" s="114"/>
      <c r="H51" s="113"/>
      <c r="I51" s="114"/>
      <c r="J51" s="114"/>
      <c r="K51" s="114"/>
      <c r="L51" s="110"/>
      <c r="M51" s="110"/>
      <c r="N51" s="110"/>
      <c r="O51" s="110"/>
      <c r="P51" s="110"/>
      <c r="Q51" s="110"/>
      <c r="R51" s="110"/>
      <c r="S51" s="110"/>
      <c r="T51" s="112"/>
      <c r="U51" s="5"/>
      <c r="V51" s="5"/>
      <c r="W51" s="5"/>
      <c r="X51" s="5"/>
      <c r="Y51" s="5"/>
      <c r="Z51" s="5"/>
      <c r="AA51" s="112"/>
      <c r="AB51" s="5"/>
      <c r="AC51" s="5"/>
    </row>
    <row r="52" ht="18.0" customHeight="1">
      <c r="A52" s="109"/>
      <c r="B52" s="110"/>
      <c r="C52" s="111"/>
      <c r="D52" s="112"/>
      <c r="E52" s="113"/>
      <c r="F52" s="114"/>
      <c r="G52" s="114"/>
      <c r="H52" s="113"/>
      <c r="I52" s="114"/>
      <c r="J52" s="114"/>
      <c r="K52" s="114"/>
      <c r="L52" s="110"/>
      <c r="M52" s="110"/>
      <c r="N52" s="110"/>
      <c r="O52" s="110"/>
      <c r="P52" s="110"/>
      <c r="Q52" s="110"/>
      <c r="R52" s="110"/>
      <c r="S52" s="110"/>
      <c r="T52" s="112"/>
      <c r="U52" s="5"/>
      <c r="V52" s="5"/>
      <c r="W52" s="5"/>
      <c r="X52" s="5"/>
      <c r="Y52" s="5"/>
      <c r="Z52" s="5"/>
      <c r="AA52" s="112"/>
      <c r="AB52" s="5"/>
      <c r="AC52" s="5"/>
    </row>
    <row r="53" ht="18.0" customHeight="1">
      <c r="A53" s="109"/>
      <c r="B53" s="110"/>
      <c r="C53" s="111"/>
      <c r="D53" s="112"/>
      <c r="E53" s="113"/>
      <c r="F53" s="114"/>
      <c r="G53" s="114"/>
      <c r="H53" s="113"/>
      <c r="I53" s="114"/>
      <c r="J53" s="114"/>
      <c r="K53" s="114"/>
      <c r="L53" s="110"/>
      <c r="M53" s="110"/>
      <c r="N53" s="110"/>
      <c r="O53" s="110"/>
      <c r="P53" s="110"/>
      <c r="Q53" s="110"/>
      <c r="R53" s="110"/>
      <c r="S53" s="110"/>
      <c r="T53" s="112"/>
      <c r="U53" s="5"/>
      <c r="V53" s="5"/>
      <c r="W53" s="5"/>
      <c r="X53" s="5"/>
      <c r="Y53" s="5"/>
      <c r="Z53" s="5"/>
      <c r="AA53" s="112"/>
      <c r="AB53" s="5"/>
      <c r="AC53" s="5"/>
    </row>
    <row r="54" ht="18.0" customHeight="1">
      <c r="A54" s="109"/>
      <c r="B54" s="110"/>
      <c r="C54" s="111"/>
      <c r="D54" s="112"/>
      <c r="E54" s="113"/>
      <c r="F54" s="114"/>
      <c r="G54" s="114"/>
      <c r="H54" s="113"/>
      <c r="I54" s="114"/>
      <c r="J54" s="114"/>
      <c r="K54" s="114"/>
      <c r="L54" s="110"/>
      <c r="M54" s="110"/>
      <c r="N54" s="110"/>
      <c r="O54" s="110"/>
      <c r="P54" s="110"/>
      <c r="Q54" s="110"/>
      <c r="R54" s="110"/>
      <c r="S54" s="110"/>
      <c r="T54" s="112"/>
      <c r="U54" s="5"/>
      <c r="V54" s="5"/>
      <c r="W54" s="5"/>
      <c r="X54" s="5"/>
      <c r="Y54" s="5"/>
      <c r="Z54" s="5"/>
      <c r="AA54" s="112"/>
      <c r="AB54" s="5"/>
      <c r="AC54" s="5"/>
    </row>
    <row r="55" ht="18.0" customHeight="1">
      <c r="A55" s="109"/>
      <c r="B55" s="110"/>
      <c r="C55" s="111"/>
      <c r="D55" s="112"/>
      <c r="E55" s="113"/>
      <c r="F55" s="114"/>
      <c r="G55" s="114"/>
      <c r="H55" s="113"/>
      <c r="I55" s="114"/>
      <c r="J55" s="114"/>
      <c r="K55" s="114"/>
      <c r="L55" s="110"/>
      <c r="M55" s="110"/>
      <c r="N55" s="110"/>
      <c r="O55" s="110"/>
      <c r="P55" s="110"/>
      <c r="Q55" s="110"/>
      <c r="R55" s="110"/>
      <c r="S55" s="110"/>
      <c r="T55" s="112"/>
      <c r="U55" s="5"/>
      <c r="V55" s="5"/>
      <c r="W55" s="5"/>
      <c r="X55" s="5"/>
      <c r="Y55" s="5"/>
      <c r="Z55" s="5"/>
      <c r="AA55" s="112"/>
      <c r="AB55" s="5"/>
      <c r="AC55" s="5"/>
    </row>
    <row r="56" ht="18.0" customHeight="1">
      <c r="A56" s="109"/>
      <c r="B56" s="110"/>
      <c r="C56" s="111"/>
      <c r="D56" s="112"/>
      <c r="E56" s="113"/>
      <c r="F56" s="114"/>
      <c r="G56" s="114"/>
      <c r="H56" s="113"/>
      <c r="I56" s="114"/>
      <c r="J56" s="114"/>
      <c r="K56" s="114"/>
      <c r="L56" s="110"/>
      <c r="M56" s="110"/>
      <c r="N56" s="110"/>
      <c r="O56" s="110"/>
      <c r="P56" s="110"/>
      <c r="Q56" s="110"/>
      <c r="R56" s="110"/>
      <c r="S56" s="110"/>
      <c r="T56" s="112"/>
      <c r="U56" s="5"/>
      <c r="V56" s="5"/>
      <c r="W56" s="5"/>
      <c r="X56" s="5"/>
      <c r="Y56" s="5"/>
      <c r="Z56" s="5"/>
      <c r="AA56" s="112"/>
      <c r="AB56" s="5"/>
      <c r="AC56" s="5"/>
    </row>
    <row r="57" ht="18.0" customHeight="1">
      <c r="A57" s="109"/>
      <c r="B57" s="110"/>
      <c r="C57" s="111"/>
      <c r="D57" s="112"/>
      <c r="E57" s="113"/>
      <c r="F57" s="114"/>
      <c r="G57" s="114"/>
      <c r="H57" s="113"/>
      <c r="I57" s="114"/>
      <c r="J57" s="114"/>
      <c r="K57" s="114"/>
      <c r="L57" s="110"/>
      <c r="M57" s="110"/>
      <c r="N57" s="110"/>
      <c r="O57" s="110"/>
      <c r="P57" s="110"/>
      <c r="Q57" s="110"/>
      <c r="R57" s="110"/>
      <c r="S57" s="110"/>
      <c r="T57" s="112"/>
      <c r="U57" s="5"/>
      <c r="V57" s="5"/>
      <c r="W57" s="5"/>
      <c r="X57" s="5"/>
      <c r="Y57" s="5"/>
      <c r="Z57" s="5"/>
      <c r="AA57" s="112"/>
      <c r="AB57" s="5"/>
      <c r="AC57" s="5"/>
    </row>
    <row r="58" ht="18.0" customHeight="1">
      <c r="A58" s="109"/>
      <c r="B58" s="110"/>
      <c r="C58" s="111"/>
      <c r="D58" s="112"/>
      <c r="E58" s="113"/>
      <c r="F58" s="114"/>
      <c r="G58" s="114"/>
      <c r="H58" s="113"/>
      <c r="I58" s="114"/>
      <c r="J58" s="114"/>
      <c r="K58" s="114"/>
      <c r="L58" s="110"/>
      <c r="M58" s="110"/>
      <c r="N58" s="110"/>
      <c r="O58" s="110"/>
      <c r="P58" s="110"/>
      <c r="Q58" s="110"/>
      <c r="R58" s="110"/>
      <c r="S58" s="110"/>
      <c r="T58" s="112"/>
      <c r="U58" s="5"/>
      <c r="V58" s="5"/>
      <c r="W58" s="5"/>
      <c r="X58" s="5"/>
      <c r="Y58" s="5"/>
      <c r="Z58" s="5"/>
      <c r="AA58" s="112"/>
      <c r="AB58" s="5"/>
      <c r="AC58" s="5"/>
    </row>
    <row r="59" ht="18.0" customHeight="1">
      <c r="A59" s="109"/>
      <c r="B59" s="110"/>
      <c r="C59" s="111"/>
      <c r="D59" s="112"/>
      <c r="E59" s="113"/>
      <c r="F59" s="114"/>
      <c r="G59" s="114"/>
      <c r="H59" s="113"/>
      <c r="I59" s="114"/>
      <c r="J59" s="114"/>
      <c r="K59" s="114"/>
      <c r="L59" s="110"/>
      <c r="M59" s="110"/>
      <c r="N59" s="110"/>
      <c r="O59" s="110"/>
      <c r="P59" s="110"/>
      <c r="Q59" s="110"/>
      <c r="R59" s="110"/>
      <c r="S59" s="110"/>
      <c r="T59" s="112"/>
      <c r="U59" s="5"/>
      <c r="V59" s="5"/>
      <c r="W59" s="5"/>
      <c r="X59" s="5"/>
      <c r="Y59" s="5"/>
      <c r="Z59" s="5"/>
      <c r="AA59" s="112"/>
      <c r="AB59" s="5"/>
      <c r="AC59" s="5"/>
    </row>
    <row r="60" ht="18.0" customHeight="1">
      <c r="A60" s="109"/>
      <c r="B60" s="110"/>
      <c r="C60" s="111"/>
      <c r="D60" s="112"/>
      <c r="E60" s="113"/>
      <c r="F60" s="114"/>
      <c r="G60" s="114"/>
      <c r="H60" s="113"/>
      <c r="I60" s="114"/>
      <c r="J60" s="114"/>
      <c r="K60" s="114"/>
      <c r="L60" s="110"/>
      <c r="M60" s="110"/>
      <c r="N60" s="110"/>
      <c r="O60" s="110"/>
      <c r="P60" s="110"/>
      <c r="Q60" s="110"/>
      <c r="R60" s="110"/>
      <c r="S60" s="110"/>
      <c r="T60" s="112"/>
      <c r="U60" s="5"/>
      <c r="V60" s="5"/>
      <c r="W60" s="5"/>
      <c r="X60" s="5"/>
      <c r="Y60" s="5"/>
      <c r="Z60" s="5"/>
      <c r="AA60" s="112"/>
      <c r="AB60" s="5"/>
      <c r="AC60" s="5"/>
    </row>
    <row r="61" ht="18.0" customHeight="1">
      <c r="A61" s="109"/>
      <c r="B61" s="110"/>
      <c r="C61" s="111"/>
      <c r="D61" s="112"/>
      <c r="E61" s="113"/>
      <c r="F61" s="114"/>
      <c r="G61" s="114"/>
      <c r="H61" s="113"/>
      <c r="I61" s="114"/>
      <c r="J61" s="114"/>
      <c r="K61" s="114"/>
      <c r="L61" s="110"/>
      <c r="M61" s="110"/>
      <c r="N61" s="110"/>
      <c r="O61" s="110"/>
      <c r="P61" s="110"/>
      <c r="Q61" s="110"/>
      <c r="R61" s="110"/>
      <c r="S61" s="110"/>
      <c r="T61" s="112"/>
      <c r="U61" s="5"/>
      <c r="V61" s="5"/>
      <c r="W61" s="5"/>
      <c r="X61" s="5"/>
      <c r="Y61" s="5"/>
      <c r="Z61" s="5"/>
      <c r="AA61" s="112"/>
      <c r="AB61" s="5"/>
      <c r="AC61" s="5"/>
    </row>
    <row r="62" ht="18.0" customHeight="1">
      <c r="A62" s="109"/>
      <c r="B62" s="110"/>
      <c r="C62" s="111"/>
      <c r="D62" s="112"/>
      <c r="E62" s="113"/>
      <c r="F62" s="114"/>
      <c r="G62" s="114"/>
      <c r="H62" s="113"/>
      <c r="I62" s="114"/>
      <c r="J62" s="114"/>
      <c r="K62" s="114"/>
      <c r="L62" s="110"/>
      <c r="M62" s="110"/>
      <c r="N62" s="110"/>
      <c r="O62" s="110"/>
      <c r="P62" s="110"/>
      <c r="Q62" s="110"/>
      <c r="R62" s="110"/>
      <c r="S62" s="110"/>
      <c r="T62" s="112"/>
      <c r="U62" s="5"/>
      <c r="V62" s="5"/>
      <c r="W62" s="5"/>
      <c r="X62" s="5"/>
      <c r="Y62" s="5"/>
      <c r="Z62" s="5"/>
      <c r="AA62" s="112"/>
      <c r="AB62" s="5"/>
      <c r="AC62" s="5"/>
    </row>
    <row r="63" ht="18.0" customHeight="1">
      <c r="A63" s="109"/>
      <c r="B63" s="110"/>
      <c r="C63" s="111"/>
      <c r="D63" s="112"/>
      <c r="E63" s="113"/>
      <c r="F63" s="114"/>
      <c r="G63" s="114"/>
      <c r="H63" s="113"/>
      <c r="I63" s="114"/>
      <c r="J63" s="114"/>
      <c r="K63" s="114"/>
      <c r="L63" s="110"/>
      <c r="M63" s="110"/>
      <c r="N63" s="110"/>
      <c r="O63" s="110"/>
      <c r="P63" s="110"/>
      <c r="Q63" s="110"/>
      <c r="R63" s="110"/>
      <c r="S63" s="110"/>
      <c r="T63" s="112"/>
      <c r="U63" s="5"/>
      <c r="V63" s="5"/>
      <c r="W63" s="5"/>
      <c r="X63" s="5"/>
      <c r="Y63" s="5"/>
      <c r="Z63" s="5"/>
      <c r="AA63" s="112"/>
      <c r="AB63" s="5"/>
      <c r="AC63" s="5"/>
    </row>
    <row r="64" ht="18.0" customHeight="1">
      <c r="A64" s="109"/>
      <c r="B64" s="110"/>
      <c r="C64" s="111"/>
      <c r="D64" s="112"/>
      <c r="E64" s="113"/>
      <c r="F64" s="114"/>
      <c r="G64" s="114"/>
      <c r="H64" s="113"/>
      <c r="I64" s="114"/>
      <c r="J64" s="114"/>
      <c r="K64" s="114"/>
      <c r="L64" s="110"/>
      <c r="M64" s="110"/>
      <c r="N64" s="110"/>
      <c r="O64" s="110"/>
      <c r="P64" s="110"/>
      <c r="Q64" s="110"/>
      <c r="R64" s="110"/>
      <c r="S64" s="110"/>
      <c r="T64" s="112"/>
      <c r="U64" s="5"/>
      <c r="V64" s="5"/>
      <c r="W64" s="5"/>
      <c r="X64" s="5"/>
      <c r="Y64" s="5"/>
      <c r="Z64" s="5"/>
      <c r="AA64" s="112"/>
      <c r="AB64" s="5"/>
      <c r="AC64" s="5"/>
    </row>
    <row r="65" ht="18.0" customHeight="1">
      <c r="A65" s="109"/>
      <c r="B65" s="110"/>
      <c r="C65" s="111"/>
      <c r="D65" s="112"/>
      <c r="E65" s="113"/>
      <c r="F65" s="114"/>
      <c r="G65" s="114"/>
      <c r="H65" s="113"/>
      <c r="I65" s="114"/>
      <c r="J65" s="114"/>
      <c r="K65" s="114"/>
      <c r="L65" s="110"/>
      <c r="M65" s="110"/>
      <c r="N65" s="110"/>
      <c r="O65" s="110"/>
      <c r="P65" s="110"/>
      <c r="Q65" s="110"/>
      <c r="R65" s="110"/>
      <c r="S65" s="110"/>
      <c r="T65" s="112"/>
      <c r="U65" s="5"/>
      <c r="V65" s="5"/>
      <c r="W65" s="5"/>
      <c r="X65" s="5"/>
      <c r="Y65" s="5"/>
      <c r="Z65" s="5"/>
      <c r="AA65" s="112"/>
      <c r="AB65" s="5"/>
      <c r="AC65" s="5"/>
    </row>
    <row r="66" ht="18.0" customHeight="1">
      <c r="A66" s="109"/>
      <c r="B66" s="110"/>
      <c r="C66" s="111"/>
      <c r="D66" s="112"/>
      <c r="E66" s="113"/>
      <c r="F66" s="114"/>
      <c r="G66" s="114"/>
      <c r="H66" s="113"/>
      <c r="I66" s="114"/>
      <c r="J66" s="114"/>
      <c r="K66" s="114"/>
      <c r="L66" s="110"/>
      <c r="M66" s="110"/>
      <c r="N66" s="110"/>
      <c r="O66" s="110"/>
      <c r="P66" s="110"/>
      <c r="Q66" s="110"/>
      <c r="R66" s="110"/>
      <c r="S66" s="110"/>
      <c r="T66" s="112"/>
      <c r="U66" s="5"/>
      <c r="V66" s="5"/>
      <c r="W66" s="5"/>
      <c r="X66" s="5"/>
      <c r="Y66" s="5"/>
      <c r="Z66" s="5"/>
      <c r="AA66" s="112"/>
      <c r="AB66" s="5"/>
      <c r="AC66" s="5"/>
    </row>
    <row r="67" ht="18.0" customHeight="1">
      <c r="A67" s="109"/>
      <c r="B67" s="110"/>
      <c r="C67" s="111"/>
      <c r="D67" s="112"/>
      <c r="E67" s="113"/>
      <c r="F67" s="114"/>
      <c r="G67" s="114"/>
      <c r="H67" s="113"/>
      <c r="I67" s="114"/>
      <c r="J67" s="114"/>
      <c r="K67" s="114"/>
      <c r="L67" s="110"/>
      <c r="M67" s="110"/>
      <c r="N67" s="110"/>
      <c r="O67" s="110"/>
      <c r="P67" s="110"/>
      <c r="Q67" s="110"/>
      <c r="R67" s="110"/>
      <c r="S67" s="110"/>
      <c r="T67" s="112"/>
      <c r="U67" s="5"/>
      <c r="V67" s="5"/>
      <c r="W67" s="5"/>
      <c r="X67" s="5"/>
      <c r="Y67" s="5"/>
      <c r="Z67" s="5"/>
      <c r="AA67" s="112"/>
      <c r="AB67" s="5"/>
      <c r="AC67" s="5"/>
    </row>
    <row r="68" ht="18.0" customHeight="1">
      <c r="A68" s="109"/>
      <c r="B68" s="110"/>
      <c r="C68" s="111"/>
      <c r="D68" s="112"/>
      <c r="E68" s="113"/>
      <c r="F68" s="114"/>
      <c r="G68" s="114"/>
      <c r="H68" s="113"/>
      <c r="I68" s="114"/>
      <c r="J68" s="114"/>
      <c r="K68" s="114"/>
      <c r="L68" s="110"/>
      <c r="M68" s="110"/>
      <c r="N68" s="110"/>
      <c r="O68" s="110"/>
      <c r="P68" s="110"/>
      <c r="Q68" s="110"/>
      <c r="R68" s="110"/>
      <c r="S68" s="110"/>
      <c r="T68" s="112"/>
      <c r="U68" s="5"/>
      <c r="V68" s="5"/>
      <c r="W68" s="5"/>
      <c r="X68" s="5"/>
      <c r="Y68" s="5"/>
      <c r="Z68" s="5"/>
      <c r="AA68" s="112"/>
      <c r="AB68" s="5"/>
      <c r="AC68" s="5"/>
    </row>
    <row r="69" ht="18.0" customHeight="1">
      <c r="A69" s="109"/>
      <c r="B69" s="110"/>
      <c r="C69" s="111"/>
      <c r="D69" s="112"/>
      <c r="E69" s="113"/>
      <c r="F69" s="114"/>
      <c r="G69" s="114"/>
      <c r="H69" s="113"/>
      <c r="I69" s="114"/>
      <c r="J69" s="114"/>
      <c r="K69" s="114"/>
      <c r="L69" s="110"/>
      <c r="M69" s="110"/>
      <c r="N69" s="110"/>
      <c r="O69" s="110"/>
      <c r="P69" s="110"/>
      <c r="Q69" s="110"/>
      <c r="R69" s="110"/>
      <c r="S69" s="110"/>
      <c r="T69" s="112"/>
      <c r="U69" s="5"/>
      <c r="V69" s="5"/>
      <c r="W69" s="5"/>
      <c r="X69" s="5"/>
      <c r="Y69" s="5"/>
      <c r="Z69" s="5"/>
      <c r="AA69" s="112"/>
      <c r="AB69" s="5"/>
      <c r="AC69" s="5"/>
    </row>
    <row r="70" ht="18.0" customHeight="1">
      <c r="A70" s="109"/>
      <c r="B70" s="110"/>
      <c r="C70" s="111"/>
      <c r="D70" s="112"/>
      <c r="E70" s="113"/>
      <c r="F70" s="114"/>
      <c r="G70" s="114"/>
      <c r="H70" s="113"/>
      <c r="I70" s="114"/>
      <c r="J70" s="114"/>
      <c r="K70" s="114"/>
      <c r="L70" s="110"/>
      <c r="M70" s="110"/>
      <c r="N70" s="110"/>
      <c r="O70" s="110"/>
      <c r="P70" s="110"/>
      <c r="Q70" s="110"/>
      <c r="R70" s="110"/>
      <c r="S70" s="110"/>
      <c r="T70" s="112"/>
      <c r="U70" s="5"/>
      <c r="V70" s="5"/>
      <c r="W70" s="5"/>
      <c r="X70" s="5"/>
      <c r="Y70" s="5"/>
      <c r="Z70" s="5"/>
      <c r="AA70" s="112"/>
      <c r="AB70" s="5"/>
      <c r="AC70" s="5"/>
    </row>
    <row r="71" ht="18.0" customHeight="1">
      <c r="A71" s="109"/>
      <c r="B71" s="110"/>
      <c r="C71" s="111"/>
      <c r="D71" s="112"/>
      <c r="E71" s="113"/>
      <c r="F71" s="114"/>
      <c r="G71" s="114"/>
      <c r="H71" s="113"/>
      <c r="I71" s="114"/>
      <c r="J71" s="114"/>
      <c r="K71" s="114"/>
      <c r="L71" s="110"/>
      <c r="M71" s="110"/>
      <c r="N71" s="110"/>
      <c r="O71" s="110"/>
      <c r="P71" s="110"/>
      <c r="Q71" s="110"/>
      <c r="R71" s="110"/>
      <c r="S71" s="110"/>
      <c r="T71" s="112"/>
      <c r="U71" s="5"/>
      <c r="V71" s="5"/>
      <c r="W71" s="5"/>
      <c r="X71" s="5"/>
      <c r="Y71" s="5"/>
      <c r="Z71" s="5"/>
      <c r="AA71" s="112"/>
      <c r="AB71" s="5"/>
      <c r="AC71" s="5"/>
    </row>
    <row r="72" ht="18.0" customHeight="1">
      <c r="A72" s="109"/>
      <c r="B72" s="110"/>
      <c r="C72" s="111"/>
      <c r="D72" s="112"/>
      <c r="E72" s="113"/>
      <c r="F72" s="114"/>
      <c r="G72" s="114"/>
      <c r="H72" s="113"/>
      <c r="I72" s="114"/>
      <c r="J72" s="114"/>
      <c r="K72" s="114"/>
      <c r="L72" s="110"/>
      <c r="M72" s="110"/>
      <c r="N72" s="110"/>
      <c r="O72" s="110"/>
      <c r="P72" s="110"/>
      <c r="Q72" s="110"/>
      <c r="R72" s="110"/>
      <c r="S72" s="110"/>
      <c r="T72" s="112"/>
      <c r="U72" s="5"/>
      <c r="V72" s="5"/>
      <c r="W72" s="5"/>
      <c r="X72" s="5"/>
      <c r="Y72" s="5"/>
      <c r="Z72" s="5"/>
      <c r="AA72" s="112"/>
      <c r="AB72" s="5"/>
      <c r="AC72" s="5"/>
    </row>
    <row r="73" ht="18.0" customHeight="1">
      <c r="A73" s="109"/>
      <c r="B73" s="110"/>
      <c r="C73" s="111"/>
      <c r="D73" s="112"/>
      <c r="E73" s="113"/>
      <c r="F73" s="114"/>
      <c r="G73" s="114"/>
      <c r="H73" s="113"/>
      <c r="I73" s="114"/>
      <c r="J73" s="114"/>
      <c r="K73" s="114"/>
      <c r="L73" s="110"/>
      <c r="M73" s="110"/>
      <c r="N73" s="110"/>
      <c r="O73" s="110"/>
      <c r="P73" s="110"/>
      <c r="Q73" s="110"/>
      <c r="R73" s="110"/>
      <c r="S73" s="110"/>
      <c r="T73" s="112"/>
      <c r="U73" s="5"/>
      <c r="V73" s="5"/>
      <c r="W73" s="5"/>
      <c r="X73" s="5"/>
      <c r="Y73" s="5"/>
      <c r="Z73" s="5"/>
      <c r="AA73" s="112"/>
      <c r="AB73" s="5"/>
      <c r="AC73" s="5"/>
    </row>
    <row r="74" ht="18.0" customHeight="1">
      <c r="A74" s="109"/>
      <c r="B74" s="110"/>
      <c r="C74" s="111"/>
      <c r="D74" s="112"/>
      <c r="E74" s="113"/>
      <c r="F74" s="114"/>
      <c r="G74" s="114"/>
      <c r="H74" s="113"/>
      <c r="I74" s="114"/>
      <c r="J74" s="114"/>
      <c r="K74" s="114"/>
      <c r="L74" s="110"/>
      <c r="M74" s="110"/>
      <c r="N74" s="110"/>
      <c r="O74" s="110"/>
      <c r="P74" s="110"/>
      <c r="Q74" s="110"/>
      <c r="R74" s="110"/>
      <c r="S74" s="110"/>
      <c r="T74" s="112"/>
      <c r="U74" s="5"/>
      <c r="V74" s="5"/>
      <c r="W74" s="5"/>
      <c r="X74" s="5"/>
      <c r="Y74" s="5"/>
      <c r="Z74" s="5"/>
      <c r="AA74" s="112"/>
      <c r="AB74" s="5"/>
      <c r="AC74" s="5"/>
    </row>
    <row r="75" ht="18.0" customHeight="1">
      <c r="A75" s="109"/>
      <c r="B75" s="110"/>
      <c r="C75" s="111"/>
      <c r="D75" s="112"/>
      <c r="E75" s="113"/>
      <c r="F75" s="114"/>
      <c r="G75" s="114"/>
      <c r="H75" s="113"/>
      <c r="I75" s="114"/>
      <c r="J75" s="114"/>
      <c r="K75" s="114"/>
      <c r="L75" s="110"/>
      <c r="M75" s="110"/>
      <c r="N75" s="110"/>
      <c r="O75" s="110"/>
      <c r="P75" s="110"/>
      <c r="Q75" s="110"/>
      <c r="R75" s="110"/>
      <c r="S75" s="110"/>
      <c r="T75" s="112"/>
      <c r="U75" s="5"/>
      <c r="V75" s="5"/>
      <c r="W75" s="5"/>
      <c r="X75" s="5"/>
      <c r="Y75" s="5"/>
      <c r="Z75" s="5"/>
      <c r="AA75" s="112"/>
      <c r="AB75" s="5"/>
      <c r="AC75" s="5"/>
    </row>
    <row r="76" ht="18.0" customHeight="1">
      <c r="A76" s="109"/>
      <c r="B76" s="110"/>
      <c r="C76" s="111"/>
      <c r="D76" s="112"/>
      <c r="E76" s="113"/>
      <c r="F76" s="114"/>
      <c r="G76" s="114"/>
      <c r="H76" s="113"/>
      <c r="I76" s="114"/>
      <c r="J76" s="114"/>
      <c r="K76" s="114"/>
      <c r="L76" s="110"/>
      <c r="M76" s="110"/>
      <c r="N76" s="110"/>
      <c r="O76" s="110"/>
      <c r="P76" s="110"/>
      <c r="Q76" s="110"/>
      <c r="R76" s="110"/>
      <c r="S76" s="110"/>
      <c r="T76" s="112"/>
      <c r="U76" s="5"/>
      <c r="V76" s="5"/>
      <c r="W76" s="5"/>
      <c r="X76" s="5"/>
      <c r="Y76" s="5"/>
      <c r="Z76" s="5"/>
      <c r="AA76" s="112"/>
      <c r="AB76" s="5"/>
      <c r="AC76" s="5"/>
    </row>
    <row r="77" ht="18.0" customHeight="1">
      <c r="A77" s="109"/>
      <c r="B77" s="110"/>
      <c r="C77" s="111"/>
      <c r="D77" s="112"/>
      <c r="E77" s="113"/>
      <c r="F77" s="114"/>
      <c r="G77" s="114"/>
      <c r="H77" s="113"/>
      <c r="I77" s="114"/>
      <c r="J77" s="114"/>
      <c r="K77" s="114"/>
      <c r="L77" s="110"/>
      <c r="M77" s="110"/>
      <c r="N77" s="110"/>
      <c r="O77" s="110"/>
      <c r="P77" s="110"/>
      <c r="Q77" s="110"/>
      <c r="R77" s="110"/>
      <c r="S77" s="110"/>
      <c r="T77" s="112"/>
      <c r="U77" s="5"/>
      <c r="V77" s="5"/>
      <c r="W77" s="5"/>
      <c r="X77" s="5"/>
      <c r="Y77" s="5"/>
      <c r="Z77" s="5"/>
      <c r="AA77" s="112"/>
      <c r="AB77" s="5"/>
      <c r="AC77" s="5"/>
    </row>
    <row r="78" ht="18.0" customHeight="1">
      <c r="A78" s="109"/>
      <c r="B78" s="110"/>
      <c r="C78" s="111"/>
      <c r="D78" s="112"/>
      <c r="E78" s="113"/>
      <c r="F78" s="114"/>
      <c r="G78" s="114"/>
      <c r="H78" s="113"/>
      <c r="I78" s="114"/>
      <c r="J78" s="114"/>
      <c r="K78" s="114"/>
      <c r="L78" s="110"/>
      <c r="M78" s="110"/>
      <c r="N78" s="110"/>
      <c r="O78" s="110"/>
      <c r="P78" s="110"/>
      <c r="Q78" s="110"/>
      <c r="R78" s="110"/>
      <c r="S78" s="110"/>
      <c r="T78" s="112"/>
      <c r="U78" s="5"/>
      <c r="V78" s="5"/>
      <c r="W78" s="5"/>
      <c r="X78" s="5"/>
      <c r="Y78" s="5"/>
      <c r="Z78" s="5"/>
      <c r="AA78" s="112"/>
      <c r="AB78" s="5"/>
      <c r="AC78" s="5"/>
    </row>
    <row r="79" ht="18.0" customHeight="1">
      <c r="A79" s="109"/>
      <c r="B79" s="110"/>
      <c r="C79" s="111"/>
      <c r="D79" s="112"/>
      <c r="E79" s="113"/>
      <c r="F79" s="114"/>
      <c r="G79" s="114"/>
      <c r="H79" s="113"/>
      <c r="I79" s="114"/>
      <c r="J79" s="114"/>
      <c r="K79" s="114"/>
      <c r="L79" s="110"/>
      <c r="M79" s="110"/>
      <c r="N79" s="110"/>
      <c r="O79" s="110"/>
      <c r="P79" s="110"/>
      <c r="Q79" s="110"/>
      <c r="R79" s="110"/>
      <c r="S79" s="110"/>
      <c r="T79" s="112"/>
      <c r="U79" s="5"/>
      <c r="V79" s="5"/>
      <c r="W79" s="5"/>
      <c r="X79" s="5"/>
      <c r="Y79" s="5"/>
      <c r="Z79" s="5"/>
      <c r="AA79" s="112"/>
      <c r="AB79" s="5"/>
      <c r="AC79" s="5"/>
    </row>
    <row r="80" ht="18.0" customHeight="1">
      <c r="A80" s="109"/>
      <c r="B80" s="110"/>
      <c r="C80" s="111"/>
      <c r="D80" s="112"/>
      <c r="E80" s="113"/>
      <c r="F80" s="114"/>
      <c r="G80" s="114"/>
      <c r="H80" s="113"/>
      <c r="I80" s="114"/>
      <c r="J80" s="114"/>
      <c r="K80" s="114"/>
      <c r="L80" s="110"/>
      <c r="M80" s="110"/>
      <c r="N80" s="110"/>
      <c r="O80" s="110"/>
      <c r="P80" s="110"/>
      <c r="Q80" s="110"/>
      <c r="R80" s="110"/>
      <c r="S80" s="110"/>
      <c r="T80" s="112"/>
      <c r="U80" s="5"/>
      <c r="V80" s="5"/>
      <c r="W80" s="5"/>
      <c r="X80" s="5"/>
      <c r="Y80" s="5"/>
      <c r="Z80" s="5"/>
      <c r="AA80" s="112"/>
      <c r="AB80" s="5"/>
      <c r="AC80" s="5"/>
    </row>
    <row r="81" ht="18.0" customHeight="1">
      <c r="A81" s="109"/>
      <c r="B81" s="110"/>
      <c r="C81" s="111"/>
      <c r="D81" s="112"/>
      <c r="E81" s="113"/>
      <c r="F81" s="114"/>
      <c r="G81" s="114"/>
      <c r="H81" s="113"/>
      <c r="I81" s="114"/>
      <c r="J81" s="114"/>
      <c r="K81" s="114"/>
      <c r="L81" s="110"/>
      <c r="M81" s="110"/>
      <c r="N81" s="110"/>
      <c r="O81" s="110"/>
      <c r="P81" s="110"/>
      <c r="Q81" s="110"/>
      <c r="R81" s="110"/>
      <c r="S81" s="110"/>
      <c r="T81" s="112"/>
      <c r="U81" s="5"/>
      <c r="V81" s="5"/>
      <c r="W81" s="5"/>
      <c r="X81" s="5"/>
      <c r="Y81" s="5"/>
      <c r="Z81" s="5"/>
      <c r="AA81" s="112"/>
      <c r="AB81" s="5"/>
      <c r="AC81" s="5"/>
    </row>
    <row r="82" ht="18.0" customHeight="1">
      <c r="A82" s="109"/>
      <c r="B82" s="110"/>
      <c r="C82" s="111"/>
      <c r="D82" s="112"/>
      <c r="E82" s="113"/>
      <c r="F82" s="114"/>
      <c r="G82" s="114"/>
      <c r="H82" s="113"/>
      <c r="I82" s="114"/>
      <c r="J82" s="114"/>
      <c r="K82" s="114"/>
      <c r="L82" s="110"/>
      <c r="M82" s="110"/>
      <c r="N82" s="110"/>
      <c r="O82" s="110"/>
      <c r="P82" s="110"/>
      <c r="Q82" s="110"/>
      <c r="R82" s="110"/>
      <c r="S82" s="110"/>
      <c r="T82" s="112"/>
      <c r="U82" s="5"/>
      <c r="V82" s="5"/>
      <c r="W82" s="5"/>
      <c r="X82" s="5"/>
      <c r="Y82" s="5"/>
      <c r="Z82" s="5"/>
      <c r="AA82" s="112"/>
      <c r="AB82" s="5"/>
      <c r="AC82" s="5"/>
    </row>
    <row r="83" ht="18.0" customHeight="1">
      <c r="A83" s="109"/>
      <c r="B83" s="110"/>
      <c r="C83" s="111"/>
      <c r="D83" s="112"/>
      <c r="E83" s="113"/>
      <c r="F83" s="114"/>
      <c r="G83" s="114"/>
      <c r="H83" s="113"/>
      <c r="I83" s="114"/>
      <c r="J83" s="114"/>
      <c r="K83" s="114"/>
      <c r="L83" s="110"/>
      <c r="M83" s="110"/>
      <c r="N83" s="110"/>
      <c r="O83" s="110"/>
      <c r="P83" s="110"/>
      <c r="Q83" s="110"/>
      <c r="R83" s="110"/>
      <c r="S83" s="110"/>
      <c r="T83" s="112"/>
      <c r="U83" s="5"/>
      <c r="V83" s="5"/>
      <c r="W83" s="5"/>
      <c r="X83" s="5"/>
      <c r="Y83" s="5"/>
      <c r="Z83" s="5"/>
      <c r="AA83" s="112"/>
      <c r="AB83" s="5"/>
      <c r="AC83" s="5"/>
    </row>
    <row r="84" ht="18.0" customHeight="1">
      <c r="A84" s="109"/>
      <c r="B84" s="110"/>
      <c r="C84" s="111"/>
      <c r="D84" s="112"/>
      <c r="E84" s="113"/>
      <c r="F84" s="114"/>
      <c r="G84" s="114"/>
      <c r="H84" s="113"/>
      <c r="I84" s="114"/>
      <c r="J84" s="114"/>
      <c r="K84" s="114"/>
      <c r="L84" s="110"/>
      <c r="M84" s="110"/>
      <c r="N84" s="110"/>
      <c r="O84" s="110"/>
      <c r="P84" s="110"/>
      <c r="Q84" s="110"/>
      <c r="R84" s="110"/>
      <c r="S84" s="110"/>
      <c r="T84" s="112"/>
      <c r="U84" s="5"/>
      <c r="V84" s="5"/>
      <c r="W84" s="5"/>
      <c r="X84" s="5"/>
      <c r="Y84" s="5"/>
      <c r="Z84" s="5"/>
      <c r="AA84" s="112"/>
      <c r="AB84" s="5"/>
      <c r="AC84" s="5"/>
    </row>
    <row r="85" ht="18.0" customHeight="1">
      <c r="A85" s="109"/>
      <c r="B85" s="110"/>
      <c r="C85" s="111"/>
      <c r="D85" s="112"/>
      <c r="E85" s="113"/>
      <c r="F85" s="114"/>
      <c r="G85" s="114"/>
      <c r="H85" s="113"/>
      <c r="I85" s="114"/>
      <c r="J85" s="114"/>
      <c r="K85" s="114"/>
      <c r="L85" s="110"/>
      <c r="M85" s="110"/>
      <c r="N85" s="110"/>
      <c r="O85" s="110"/>
      <c r="P85" s="110"/>
      <c r="Q85" s="110"/>
      <c r="R85" s="110"/>
      <c r="S85" s="110"/>
      <c r="T85" s="112"/>
      <c r="U85" s="5"/>
      <c r="V85" s="5"/>
      <c r="W85" s="5"/>
      <c r="X85" s="5"/>
      <c r="Y85" s="5"/>
      <c r="Z85" s="5"/>
      <c r="AA85" s="112"/>
      <c r="AB85" s="5"/>
      <c r="AC85" s="5"/>
    </row>
    <row r="86" ht="18.0" customHeight="1">
      <c r="A86" s="109"/>
      <c r="B86" s="110"/>
      <c r="C86" s="111"/>
      <c r="D86" s="112"/>
      <c r="E86" s="113"/>
      <c r="F86" s="114"/>
      <c r="G86" s="114"/>
      <c r="H86" s="113"/>
      <c r="I86" s="114"/>
      <c r="J86" s="114"/>
      <c r="K86" s="114"/>
      <c r="L86" s="110"/>
      <c r="M86" s="110"/>
      <c r="N86" s="110"/>
      <c r="O86" s="110"/>
      <c r="P86" s="110"/>
      <c r="Q86" s="110"/>
      <c r="R86" s="110"/>
      <c r="S86" s="110"/>
      <c r="T86" s="112"/>
      <c r="U86" s="5"/>
      <c r="V86" s="5"/>
      <c r="W86" s="5"/>
      <c r="X86" s="5"/>
      <c r="Y86" s="5"/>
      <c r="Z86" s="5"/>
      <c r="AA86" s="112"/>
      <c r="AB86" s="5"/>
      <c r="AC86" s="5"/>
    </row>
    <row r="87" ht="18.0" customHeight="1">
      <c r="A87" s="109"/>
      <c r="B87" s="110"/>
      <c r="C87" s="111"/>
      <c r="D87" s="112"/>
      <c r="E87" s="113"/>
      <c r="F87" s="114"/>
      <c r="G87" s="114"/>
      <c r="H87" s="113"/>
      <c r="I87" s="114"/>
      <c r="J87" s="114"/>
      <c r="K87" s="114"/>
      <c r="L87" s="110"/>
      <c r="M87" s="110"/>
      <c r="N87" s="110"/>
      <c r="O87" s="110"/>
      <c r="P87" s="110"/>
      <c r="Q87" s="110"/>
      <c r="R87" s="110"/>
      <c r="S87" s="110"/>
      <c r="T87" s="112"/>
      <c r="U87" s="5"/>
      <c r="V87" s="5"/>
      <c r="W87" s="5"/>
      <c r="X87" s="5"/>
      <c r="Y87" s="5"/>
      <c r="Z87" s="5"/>
      <c r="AA87" s="112"/>
      <c r="AB87" s="5"/>
      <c r="AC87" s="5"/>
    </row>
    <row r="88" ht="18.0" customHeight="1">
      <c r="A88" s="109"/>
      <c r="B88" s="110"/>
      <c r="C88" s="111"/>
      <c r="D88" s="112"/>
      <c r="E88" s="113"/>
      <c r="F88" s="114"/>
      <c r="G88" s="114"/>
      <c r="H88" s="113"/>
      <c r="I88" s="114"/>
      <c r="J88" s="114"/>
      <c r="K88" s="114"/>
      <c r="L88" s="110"/>
      <c r="M88" s="110"/>
      <c r="N88" s="110"/>
      <c r="O88" s="110"/>
      <c r="P88" s="110"/>
      <c r="Q88" s="110"/>
      <c r="R88" s="110"/>
      <c r="S88" s="110"/>
      <c r="T88" s="112"/>
      <c r="U88" s="5"/>
      <c r="V88" s="5"/>
      <c r="W88" s="5"/>
      <c r="X88" s="5"/>
      <c r="Y88" s="5"/>
      <c r="Z88" s="5"/>
      <c r="AA88" s="112"/>
      <c r="AB88" s="5"/>
      <c r="AC88" s="5"/>
    </row>
    <row r="89" ht="18.0" customHeight="1">
      <c r="A89" s="109"/>
      <c r="B89" s="110"/>
      <c r="C89" s="111"/>
      <c r="D89" s="112"/>
      <c r="E89" s="113"/>
      <c r="F89" s="114"/>
      <c r="G89" s="114"/>
      <c r="H89" s="113"/>
      <c r="I89" s="114"/>
      <c r="J89" s="114"/>
      <c r="K89" s="114"/>
      <c r="L89" s="110"/>
      <c r="M89" s="110"/>
      <c r="N89" s="110"/>
      <c r="O89" s="110"/>
      <c r="P89" s="110"/>
      <c r="Q89" s="110"/>
      <c r="R89" s="110"/>
      <c r="S89" s="110"/>
      <c r="T89" s="112"/>
      <c r="U89" s="5"/>
      <c r="V89" s="5"/>
      <c r="W89" s="5"/>
      <c r="X89" s="5"/>
      <c r="Y89" s="5"/>
      <c r="Z89" s="5"/>
      <c r="AA89" s="112"/>
      <c r="AB89" s="5"/>
      <c r="AC89" s="5"/>
    </row>
    <row r="90" ht="18.0" customHeight="1">
      <c r="A90" s="109"/>
      <c r="B90" s="110"/>
      <c r="C90" s="111"/>
      <c r="D90" s="112"/>
      <c r="E90" s="113"/>
      <c r="F90" s="114"/>
      <c r="G90" s="114"/>
      <c r="H90" s="113"/>
      <c r="I90" s="114"/>
      <c r="J90" s="114"/>
      <c r="K90" s="114"/>
      <c r="L90" s="110"/>
      <c r="M90" s="110"/>
      <c r="N90" s="110"/>
      <c r="O90" s="110"/>
      <c r="P90" s="110"/>
      <c r="Q90" s="110"/>
      <c r="R90" s="110"/>
      <c r="S90" s="110"/>
      <c r="T90" s="112"/>
      <c r="U90" s="5"/>
      <c r="V90" s="5"/>
      <c r="W90" s="5"/>
      <c r="X90" s="5"/>
      <c r="Y90" s="5"/>
      <c r="Z90" s="5"/>
      <c r="AA90" s="112"/>
      <c r="AB90" s="5"/>
      <c r="AC90" s="5"/>
    </row>
    <row r="91" ht="18.0" customHeight="1">
      <c r="A91" s="109"/>
      <c r="B91" s="110"/>
      <c r="C91" s="111"/>
      <c r="D91" s="112"/>
      <c r="E91" s="113"/>
      <c r="F91" s="114"/>
      <c r="G91" s="114"/>
      <c r="H91" s="113"/>
      <c r="I91" s="114"/>
      <c r="J91" s="114"/>
      <c r="K91" s="114"/>
      <c r="L91" s="110"/>
      <c r="M91" s="110"/>
      <c r="N91" s="110"/>
      <c r="O91" s="110"/>
      <c r="P91" s="110"/>
      <c r="Q91" s="110"/>
      <c r="R91" s="110"/>
      <c r="S91" s="110"/>
      <c r="T91" s="112"/>
      <c r="U91" s="5"/>
      <c r="V91" s="5"/>
      <c r="W91" s="5"/>
      <c r="X91" s="5"/>
      <c r="Y91" s="5"/>
      <c r="Z91" s="5"/>
      <c r="AA91" s="112"/>
      <c r="AB91" s="5"/>
      <c r="AC91" s="5"/>
    </row>
    <row r="92" ht="18.0" customHeight="1">
      <c r="A92" s="109"/>
      <c r="B92" s="110"/>
      <c r="C92" s="111"/>
      <c r="D92" s="112"/>
      <c r="E92" s="113"/>
      <c r="F92" s="114"/>
      <c r="G92" s="114"/>
      <c r="H92" s="113"/>
      <c r="I92" s="114"/>
      <c r="J92" s="114"/>
      <c r="K92" s="114"/>
      <c r="L92" s="110"/>
      <c r="M92" s="110"/>
      <c r="N92" s="110"/>
      <c r="O92" s="110"/>
      <c r="P92" s="110"/>
      <c r="Q92" s="110"/>
      <c r="R92" s="110"/>
      <c r="S92" s="110"/>
      <c r="T92" s="112"/>
      <c r="U92" s="5"/>
      <c r="V92" s="5"/>
      <c r="W92" s="5"/>
      <c r="X92" s="5"/>
      <c r="Y92" s="5"/>
      <c r="Z92" s="5"/>
      <c r="AA92" s="112"/>
      <c r="AB92" s="5"/>
      <c r="AC92" s="5"/>
    </row>
    <row r="93" ht="18.0" customHeight="1">
      <c r="A93" s="109"/>
      <c r="B93" s="110"/>
      <c r="C93" s="111"/>
      <c r="D93" s="112"/>
      <c r="E93" s="113"/>
      <c r="F93" s="114"/>
      <c r="G93" s="114"/>
      <c r="H93" s="113"/>
      <c r="I93" s="114"/>
      <c r="J93" s="114"/>
      <c r="K93" s="114"/>
      <c r="L93" s="110"/>
      <c r="M93" s="110"/>
      <c r="N93" s="110"/>
      <c r="O93" s="110"/>
      <c r="P93" s="110"/>
      <c r="Q93" s="110"/>
      <c r="R93" s="110"/>
      <c r="S93" s="110"/>
      <c r="T93" s="112"/>
      <c r="U93" s="5"/>
      <c r="V93" s="5"/>
      <c r="W93" s="5"/>
      <c r="X93" s="5"/>
      <c r="Y93" s="5"/>
      <c r="Z93" s="5"/>
      <c r="AA93" s="112"/>
      <c r="AB93" s="5"/>
      <c r="AC93" s="5"/>
    </row>
    <row r="94" ht="18.0" customHeight="1">
      <c r="A94" s="109"/>
      <c r="B94" s="110"/>
      <c r="C94" s="111"/>
      <c r="D94" s="112"/>
      <c r="E94" s="113"/>
      <c r="F94" s="114"/>
      <c r="G94" s="114"/>
      <c r="H94" s="113"/>
      <c r="I94" s="114"/>
      <c r="J94" s="114"/>
      <c r="K94" s="114"/>
      <c r="L94" s="110"/>
      <c r="M94" s="110"/>
      <c r="N94" s="110"/>
      <c r="O94" s="110"/>
      <c r="P94" s="110"/>
      <c r="Q94" s="110"/>
      <c r="R94" s="110"/>
      <c r="S94" s="110"/>
      <c r="T94" s="112"/>
      <c r="U94" s="5"/>
      <c r="V94" s="5"/>
      <c r="W94" s="5"/>
      <c r="X94" s="5"/>
      <c r="Y94" s="5"/>
      <c r="Z94" s="5"/>
      <c r="AA94" s="112"/>
      <c r="AB94" s="5"/>
      <c r="AC94" s="5"/>
    </row>
    <row r="95" ht="18.0" customHeight="1">
      <c r="A95" s="109"/>
      <c r="B95" s="110"/>
      <c r="C95" s="111"/>
      <c r="D95" s="112"/>
      <c r="E95" s="113"/>
      <c r="F95" s="114"/>
      <c r="G95" s="114"/>
      <c r="H95" s="113"/>
      <c r="I95" s="114"/>
      <c r="J95" s="114"/>
      <c r="K95" s="114"/>
      <c r="L95" s="110"/>
      <c r="M95" s="110"/>
      <c r="N95" s="110"/>
      <c r="O95" s="110"/>
      <c r="P95" s="110"/>
      <c r="Q95" s="110"/>
      <c r="R95" s="110"/>
      <c r="S95" s="110"/>
      <c r="T95" s="112"/>
      <c r="U95" s="5"/>
      <c r="V95" s="5"/>
      <c r="W95" s="5"/>
      <c r="X95" s="5"/>
      <c r="Y95" s="5"/>
      <c r="Z95" s="5"/>
      <c r="AA95" s="112"/>
      <c r="AB95" s="5"/>
      <c r="AC95" s="5"/>
    </row>
    <row r="96" ht="18.0" customHeight="1">
      <c r="A96" s="109"/>
      <c r="B96" s="110"/>
      <c r="C96" s="111"/>
      <c r="D96" s="112"/>
      <c r="E96" s="113"/>
      <c r="F96" s="114"/>
      <c r="G96" s="114"/>
      <c r="H96" s="113"/>
      <c r="I96" s="114"/>
      <c r="J96" s="114"/>
      <c r="K96" s="114"/>
      <c r="L96" s="110"/>
      <c r="M96" s="110"/>
      <c r="N96" s="110"/>
      <c r="O96" s="110"/>
      <c r="P96" s="110"/>
      <c r="Q96" s="110"/>
      <c r="R96" s="110"/>
      <c r="S96" s="110"/>
      <c r="T96" s="112"/>
      <c r="U96" s="5"/>
      <c r="V96" s="5"/>
      <c r="W96" s="5"/>
      <c r="X96" s="5"/>
      <c r="Y96" s="5"/>
      <c r="Z96" s="5"/>
      <c r="AA96" s="112"/>
      <c r="AB96" s="5"/>
      <c r="AC96" s="5"/>
    </row>
    <row r="97" ht="18.0" customHeight="1">
      <c r="A97" s="109"/>
      <c r="B97" s="110"/>
      <c r="C97" s="111"/>
      <c r="D97" s="112"/>
      <c r="E97" s="113"/>
      <c r="F97" s="114"/>
      <c r="G97" s="114"/>
      <c r="H97" s="113"/>
      <c r="I97" s="114"/>
      <c r="J97" s="114"/>
      <c r="K97" s="114"/>
      <c r="L97" s="110"/>
      <c r="M97" s="110"/>
      <c r="N97" s="110"/>
      <c r="O97" s="110"/>
      <c r="P97" s="110"/>
      <c r="Q97" s="110"/>
      <c r="R97" s="110"/>
      <c r="S97" s="110"/>
      <c r="T97" s="112"/>
      <c r="U97" s="5"/>
      <c r="V97" s="5"/>
      <c r="W97" s="5"/>
      <c r="X97" s="5"/>
      <c r="Y97" s="5"/>
      <c r="Z97" s="5"/>
      <c r="AA97" s="112"/>
      <c r="AB97" s="5"/>
      <c r="AC97" s="5"/>
    </row>
    <row r="98" ht="18.0" customHeight="1">
      <c r="A98" s="109"/>
      <c r="B98" s="110"/>
      <c r="C98" s="111"/>
      <c r="D98" s="112"/>
      <c r="E98" s="113"/>
      <c r="F98" s="114"/>
      <c r="G98" s="114"/>
      <c r="H98" s="113"/>
      <c r="I98" s="114"/>
      <c r="J98" s="114"/>
      <c r="K98" s="114"/>
      <c r="L98" s="110"/>
      <c r="M98" s="110"/>
      <c r="N98" s="110"/>
      <c r="O98" s="110"/>
      <c r="P98" s="110"/>
      <c r="Q98" s="110"/>
      <c r="R98" s="110"/>
      <c r="S98" s="110"/>
      <c r="T98" s="112"/>
      <c r="U98" s="5"/>
      <c r="V98" s="5"/>
      <c r="W98" s="5"/>
      <c r="X98" s="5"/>
      <c r="Y98" s="5"/>
      <c r="Z98" s="5"/>
      <c r="AA98" s="112"/>
      <c r="AB98" s="5"/>
      <c r="AC98" s="5"/>
    </row>
    <row r="99" ht="18.0" customHeight="1">
      <c r="A99" s="109"/>
      <c r="B99" s="110"/>
      <c r="C99" s="111"/>
      <c r="D99" s="112"/>
      <c r="E99" s="113"/>
      <c r="F99" s="114"/>
      <c r="G99" s="114"/>
      <c r="H99" s="113"/>
      <c r="I99" s="114"/>
      <c r="J99" s="114"/>
      <c r="K99" s="114"/>
      <c r="L99" s="110"/>
      <c r="M99" s="110"/>
      <c r="N99" s="110"/>
      <c r="O99" s="110"/>
      <c r="P99" s="110"/>
      <c r="Q99" s="110"/>
      <c r="R99" s="110"/>
      <c r="S99" s="110"/>
      <c r="T99" s="112"/>
      <c r="U99" s="5"/>
      <c r="V99" s="5"/>
      <c r="W99" s="5"/>
      <c r="X99" s="5"/>
      <c r="Y99" s="5"/>
      <c r="Z99" s="5"/>
      <c r="AA99" s="112"/>
      <c r="AB99" s="5"/>
      <c r="AC99" s="5"/>
    </row>
    <row r="100" ht="18.0" customHeight="1">
      <c r="A100" s="109"/>
      <c r="B100" s="110"/>
      <c r="C100" s="111"/>
      <c r="D100" s="112"/>
      <c r="E100" s="113"/>
      <c r="F100" s="114"/>
      <c r="G100" s="114"/>
      <c r="H100" s="113"/>
      <c r="I100" s="114"/>
      <c r="J100" s="114"/>
      <c r="K100" s="114"/>
      <c r="L100" s="110"/>
      <c r="M100" s="110"/>
      <c r="N100" s="110"/>
      <c r="O100" s="110"/>
      <c r="P100" s="110"/>
      <c r="Q100" s="110"/>
      <c r="R100" s="110"/>
      <c r="S100" s="110"/>
      <c r="T100" s="112"/>
      <c r="U100" s="5"/>
      <c r="V100" s="5"/>
      <c r="W100" s="5"/>
      <c r="X100" s="5"/>
      <c r="Y100" s="5"/>
      <c r="Z100" s="5"/>
      <c r="AA100" s="112"/>
      <c r="AB100" s="5"/>
      <c r="AC100" s="5"/>
    </row>
    <row r="101" ht="18.0" customHeight="1">
      <c r="A101" s="109"/>
      <c r="B101" s="110"/>
      <c r="C101" s="111"/>
      <c r="D101" s="112"/>
      <c r="E101" s="113"/>
      <c r="F101" s="114"/>
      <c r="G101" s="114"/>
      <c r="H101" s="113"/>
      <c r="I101" s="114"/>
      <c r="J101" s="114"/>
      <c r="K101" s="114"/>
      <c r="L101" s="110"/>
      <c r="M101" s="110"/>
      <c r="N101" s="110"/>
      <c r="O101" s="110"/>
      <c r="P101" s="110"/>
      <c r="Q101" s="110"/>
      <c r="R101" s="110"/>
      <c r="S101" s="110"/>
      <c r="T101" s="112"/>
      <c r="U101" s="5"/>
      <c r="V101" s="5"/>
      <c r="W101" s="5"/>
      <c r="X101" s="5"/>
      <c r="Y101" s="5"/>
      <c r="Z101" s="5"/>
      <c r="AA101" s="112"/>
      <c r="AB101" s="5"/>
      <c r="AC101" s="5"/>
    </row>
    <row r="102" ht="18.0" customHeight="1">
      <c r="A102" s="109"/>
      <c r="B102" s="110"/>
      <c r="C102" s="111"/>
      <c r="D102" s="112"/>
      <c r="E102" s="113"/>
      <c r="F102" s="114"/>
      <c r="G102" s="114"/>
      <c r="H102" s="113"/>
      <c r="I102" s="114"/>
      <c r="J102" s="114"/>
      <c r="K102" s="114"/>
      <c r="L102" s="110"/>
      <c r="M102" s="110"/>
      <c r="N102" s="110"/>
      <c r="O102" s="110"/>
      <c r="P102" s="110"/>
      <c r="Q102" s="110"/>
      <c r="R102" s="110"/>
      <c r="S102" s="110"/>
      <c r="T102" s="112"/>
      <c r="U102" s="5"/>
      <c r="V102" s="5"/>
      <c r="W102" s="5"/>
      <c r="X102" s="5"/>
      <c r="Y102" s="5"/>
      <c r="Z102" s="5"/>
      <c r="AA102" s="112"/>
      <c r="AB102" s="5"/>
      <c r="AC102" s="5"/>
    </row>
    <row r="103" ht="18.0" customHeight="1">
      <c r="A103" s="109"/>
      <c r="B103" s="110"/>
      <c r="C103" s="111"/>
      <c r="D103" s="112"/>
      <c r="E103" s="113"/>
      <c r="F103" s="114"/>
      <c r="G103" s="114"/>
      <c r="H103" s="113"/>
      <c r="I103" s="114"/>
      <c r="J103" s="114"/>
      <c r="K103" s="114"/>
      <c r="L103" s="110"/>
      <c r="M103" s="110"/>
      <c r="N103" s="110"/>
      <c r="O103" s="110"/>
      <c r="P103" s="110"/>
      <c r="Q103" s="110"/>
      <c r="R103" s="110"/>
      <c r="S103" s="110"/>
      <c r="T103" s="112"/>
      <c r="U103" s="5"/>
      <c r="V103" s="5"/>
      <c r="W103" s="5"/>
      <c r="X103" s="5"/>
      <c r="Y103" s="5"/>
      <c r="Z103" s="5"/>
      <c r="AA103" s="112"/>
      <c r="AB103" s="5"/>
      <c r="AC103" s="5"/>
    </row>
    <row r="104" ht="18.0" customHeight="1">
      <c r="A104" s="109"/>
      <c r="B104" s="110"/>
      <c r="C104" s="111"/>
      <c r="D104" s="112"/>
      <c r="E104" s="113"/>
      <c r="F104" s="114"/>
      <c r="G104" s="114"/>
      <c r="H104" s="113"/>
      <c r="I104" s="114"/>
      <c r="J104" s="114"/>
      <c r="K104" s="114"/>
      <c r="L104" s="110"/>
      <c r="M104" s="110"/>
      <c r="N104" s="110"/>
      <c r="O104" s="110"/>
      <c r="P104" s="110"/>
      <c r="Q104" s="110"/>
      <c r="R104" s="110"/>
      <c r="S104" s="110"/>
      <c r="T104" s="112"/>
      <c r="U104" s="5"/>
      <c r="V104" s="5"/>
      <c r="W104" s="5"/>
      <c r="X104" s="5"/>
      <c r="Y104" s="5"/>
      <c r="Z104" s="5"/>
      <c r="AA104" s="112"/>
      <c r="AB104" s="5"/>
      <c r="AC104" s="5"/>
    </row>
    <row r="105" ht="18.0" customHeight="1">
      <c r="A105" s="109"/>
      <c r="B105" s="110"/>
      <c r="C105" s="111"/>
      <c r="D105" s="112"/>
      <c r="E105" s="113"/>
      <c r="F105" s="114"/>
      <c r="G105" s="114"/>
      <c r="H105" s="113"/>
      <c r="I105" s="114"/>
      <c r="J105" s="114"/>
      <c r="K105" s="114"/>
      <c r="L105" s="110"/>
      <c r="M105" s="110"/>
      <c r="N105" s="110"/>
      <c r="O105" s="110"/>
      <c r="P105" s="110"/>
      <c r="Q105" s="110"/>
      <c r="R105" s="110"/>
      <c r="S105" s="110"/>
      <c r="T105" s="112"/>
      <c r="U105" s="5"/>
      <c r="V105" s="5"/>
      <c r="W105" s="5"/>
      <c r="X105" s="5"/>
      <c r="Y105" s="5"/>
      <c r="Z105" s="5"/>
      <c r="AA105" s="112"/>
      <c r="AB105" s="5"/>
      <c r="AC105" s="5"/>
    </row>
    <row r="106" ht="18.0" customHeight="1">
      <c r="A106" s="109"/>
      <c r="B106" s="110"/>
      <c r="C106" s="111"/>
      <c r="D106" s="112"/>
      <c r="E106" s="113"/>
      <c r="F106" s="114"/>
      <c r="G106" s="114"/>
      <c r="H106" s="113"/>
      <c r="I106" s="114"/>
      <c r="J106" s="114"/>
      <c r="K106" s="114"/>
      <c r="L106" s="110"/>
      <c r="M106" s="110"/>
      <c r="N106" s="110"/>
      <c r="O106" s="110"/>
      <c r="P106" s="110"/>
      <c r="Q106" s="110"/>
      <c r="R106" s="110"/>
      <c r="S106" s="110"/>
      <c r="T106" s="112"/>
      <c r="U106" s="5"/>
      <c r="V106" s="5"/>
      <c r="W106" s="5"/>
      <c r="X106" s="5"/>
      <c r="Y106" s="5"/>
      <c r="Z106" s="5"/>
      <c r="AA106" s="112"/>
      <c r="AB106" s="5"/>
      <c r="AC106" s="5"/>
    </row>
    <row r="107" ht="18.0" customHeight="1">
      <c r="A107" s="109"/>
      <c r="B107" s="110"/>
      <c r="C107" s="111"/>
      <c r="D107" s="112"/>
      <c r="E107" s="113"/>
      <c r="F107" s="114"/>
      <c r="G107" s="114"/>
      <c r="H107" s="113"/>
      <c r="I107" s="114"/>
      <c r="J107" s="114"/>
      <c r="K107" s="114"/>
      <c r="L107" s="110"/>
      <c r="M107" s="110"/>
      <c r="N107" s="110"/>
      <c r="O107" s="110"/>
      <c r="P107" s="110"/>
      <c r="Q107" s="110"/>
      <c r="R107" s="110"/>
      <c r="S107" s="110"/>
      <c r="T107" s="112"/>
      <c r="U107" s="5"/>
      <c r="V107" s="5"/>
      <c r="W107" s="5"/>
      <c r="X107" s="5"/>
      <c r="Y107" s="5"/>
      <c r="Z107" s="5"/>
      <c r="AA107" s="112"/>
      <c r="AB107" s="5"/>
      <c r="AC107" s="5"/>
    </row>
    <row r="108" ht="18.0" customHeight="1">
      <c r="A108" s="109"/>
      <c r="B108" s="110"/>
      <c r="C108" s="111"/>
      <c r="D108" s="112"/>
      <c r="E108" s="113"/>
      <c r="F108" s="114"/>
      <c r="G108" s="114"/>
      <c r="H108" s="113"/>
      <c r="I108" s="114"/>
      <c r="J108" s="114"/>
      <c r="K108" s="114"/>
      <c r="L108" s="110"/>
      <c r="M108" s="110"/>
      <c r="N108" s="110"/>
      <c r="O108" s="110"/>
      <c r="P108" s="110"/>
      <c r="Q108" s="110"/>
      <c r="R108" s="110"/>
      <c r="S108" s="110"/>
      <c r="T108" s="112"/>
      <c r="U108" s="5"/>
      <c r="V108" s="5"/>
      <c r="W108" s="5"/>
      <c r="X108" s="5"/>
      <c r="Y108" s="5"/>
      <c r="Z108" s="5"/>
      <c r="AA108" s="112"/>
      <c r="AB108" s="5"/>
      <c r="AC108" s="5"/>
    </row>
    <row r="109" ht="18.0" customHeight="1">
      <c r="A109" s="109"/>
      <c r="B109" s="110"/>
      <c r="C109" s="111"/>
      <c r="D109" s="112"/>
      <c r="E109" s="113"/>
      <c r="F109" s="114"/>
      <c r="G109" s="114"/>
      <c r="H109" s="113"/>
      <c r="I109" s="114"/>
      <c r="J109" s="114"/>
      <c r="K109" s="114"/>
      <c r="L109" s="110"/>
      <c r="M109" s="110"/>
      <c r="N109" s="110"/>
      <c r="O109" s="110"/>
      <c r="P109" s="110"/>
      <c r="Q109" s="110"/>
      <c r="R109" s="110"/>
      <c r="S109" s="110"/>
      <c r="T109" s="112"/>
      <c r="U109" s="5"/>
      <c r="V109" s="5"/>
      <c r="W109" s="5"/>
      <c r="X109" s="5"/>
      <c r="Y109" s="5"/>
      <c r="Z109" s="5"/>
      <c r="AA109" s="112"/>
      <c r="AB109" s="5"/>
      <c r="AC109" s="5"/>
    </row>
    <row r="110" ht="18.0" customHeight="1">
      <c r="A110" s="109"/>
      <c r="B110" s="110"/>
      <c r="C110" s="111"/>
      <c r="D110" s="112"/>
      <c r="E110" s="113"/>
      <c r="F110" s="114"/>
      <c r="G110" s="114"/>
      <c r="H110" s="113"/>
      <c r="I110" s="114"/>
      <c r="J110" s="114"/>
      <c r="K110" s="114"/>
      <c r="L110" s="110"/>
      <c r="M110" s="110"/>
      <c r="N110" s="110"/>
      <c r="O110" s="110"/>
      <c r="P110" s="110"/>
      <c r="Q110" s="110"/>
      <c r="R110" s="110"/>
      <c r="S110" s="110"/>
      <c r="T110" s="112"/>
      <c r="U110" s="5"/>
      <c r="V110" s="5"/>
      <c r="W110" s="5"/>
      <c r="X110" s="5"/>
      <c r="Y110" s="5"/>
      <c r="Z110" s="5"/>
      <c r="AA110" s="112"/>
      <c r="AB110" s="5"/>
      <c r="AC110" s="5"/>
    </row>
    <row r="111" ht="18.0" customHeight="1">
      <c r="A111" s="109"/>
      <c r="B111" s="110"/>
      <c r="C111" s="111"/>
      <c r="D111" s="112"/>
      <c r="E111" s="113"/>
      <c r="F111" s="114"/>
      <c r="G111" s="114"/>
      <c r="H111" s="113"/>
      <c r="I111" s="114"/>
      <c r="J111" s="114"/>
      <c r="K111" s="114"/>
      <c r="L111" s="110"/>
      <c r="M111" s="110"/>
      <c r="N111" s="110"/>
      <c r="O111" s="110"/>
      <c r="P111" s="110"/>
      <c r="Q111" s="110"/>
      <c r="R111" s="110"/>
      <c r="S111" s="110"/>
      <c r="T111" s="112"/>
      <c r="U111" s="5"/>
      <c r="V111" s="5"/>
      <c r="W111" s="5"/>
      <c r="X111" s="5"/>
      <c r="Y111" s="5"/>
      <c r="Z111" s="5"/>
      <c r="AA111" s="112"/>
      <c r="AB111" s="5"/>
      <c r="AC111" s="5"/>
    </row>
    <row r="112" ht="18.0" customHeight="1">
      <c r="A112" s="109"/>
      <c r="B112" s="110"/>
      <c r="C112" s="111"/>
      <c r="D112" s="112"/>
      <c r="E112" s="113"/>
      <c r="F112" s="114"/>
      <c r="G112" s="114"/>
      <c r="H112" s="113"/>
      <c r="I112" s="114"/>
      <c r="J112" s="114"/>
      <c r="K112" s="114"/>
      <c r="L112" s="110"/>
      <c r="M112" s="110"/>
      <c r="N112" s="110"/>
      <c r="O112" s="110"/>
      <c r="P112" s="110"/>
      <c r="Q112" s="110"/>
      <c r="R112" s="110"/>
      <c r="S112" s="110"/>
      <c r="T112" s="112"/>
      <c r="U112" s="5"/>
      <c r="V112" s="5"/>
      <c r="W112" s="5"/>
      <c r="X112" s="5"/>
      <c r="Y112" s="5"/>
      <c r="Z112" s="5"/>
      <c r="AA112" s="112"/>
      <c r="AB112" s="5"/>
      <c r="AC112" s="5"/>
    </row>
    <row r="113" ht="18.0" customHeight="1">
      <c r="A113" s="109"/>
      <c r="B113" s="110"/>
      <c r="C113" s="111"/>
      <c r="D113" s="112"/>
      <c r="E113" s="113"/>
      <c r="F113" s="114"/>
      <c r="G113" s="114"/>
      <c r="H113" s="113"/>
      <c r="I113" s="114"/>
      <c r="J113" s="114"/>
      <c r="K113" s="114"/>
      <c r="L113" s="110"/>
      <c r="M113" s="110"/>
      <c r="N113" s="110"/>
      <c r="O113" s="110"/>
      <c r="P113" s="110"/>
      <c r="Q113" s="110"/>
      <c r="R113" s="110"/>
      <c r="S113" s="110"/>
      <c r="T113" s="112"/>
      <c r="U113" s="5"/>
      <c r="V113" s="5"/>
      <c r="W113" s="5"/>
      <c r="X113" s="5"/>
      <c r="Y113" s="5"/>
      <c r="Z113" s="5"/>
      <c r="AA113" s="112"/>
      <c r="AB113" s="5"/>
      <c r="AC113" s="5"/>
    </row>
    <row r="114" ht="18.0" customHeight="1">
      <c r="A114" s="109"/>
      <c r="B114" s="110"/>
      <c r="C114" s="111"/>
      <c r="D114" s="112"/>
      <c r="E114" s="113"/>
      <c r="F114" s="114"/>
      <c r="G114" s="114"/>
      <c r="H114" s="113"/>
      <c r="I114" s="114"/>
      <c r="J114" s="114"/>
      <c r="K114" s="114"/>
      <c r="L114" s="110"/>
      <c r="M114" s="110"/>
      <c r="N114" s="110"/>
      <c r="O114" s="110"/>
      <c r="P114" s="110"/>
      <c r="Q114" s="110"/>
      <c r="R114" s="110"/>
      <c r="S114" s="110"/>
      <c r="T114" s="112"/>
      <c r="U114" s="5"/>
      <c r="V114" s="5"/>
      <c r="W114" s="5"/>
      <c r="X114" s="5"/>
      <c r="Y114" s="5"/>
      <c r="Z114" s="5"/>
      <c r="AA114" s="112"/>
      <c r="AB114" s="5"/>
      <c r="AC114" s="5"/>
    </row>
    <row r="115" ht="18.0" customHeight="1">
      <c r="A115" s="109"/>
      <c r="B115" s="110"/>
      <c r="C115" s="111"/>
      <c r="D115" s="112"/>
      <c r="E115" s="113"/>
      <c r="F115" s="114"/>
      <c r="G115" s="114"/>
      <c r="H115" s="113"/>
      <c r="I115" s="114"/>
      <c r="J115" s="114"/>
      <c r="K115" s="114"/>
      <c r="L115" s="110"/>
      <c r="M115" s="110"/>
      <c r="N115" s="110"/>
      <c r="O115" s="110"/>
      <c r="P115" s="110"/>
      <c r="Q115" s="110"/>
      <c r="R115" s="110"/>
      <c r="S115" s="110"/>
      <c r="T115" s="112"/>
      <c r="U115" s="5"/>
      <c r="V115" s="5"/>
      <c r="W115" s="5"/>
      <c r="X115" s="5"/>
      <c r="Y115" s="5"/>
      <c r="Z115" s="5"/>
      <c r="AA115" s="112"/>
      <c r="AB115" s="5"/>
      <c r="AC115" s="5"/>
    </row>
    <row r="116" ht="18.0" customHeight="1">
      <c r="A116" s="109"/>
      <c r="B116" s="110"/>
      <c r="C116" s="111"/>
      <c r="D116" s="112"/>
      <c r="E116" s="113"/>
      <c r="F116" s="114"/>
      <c r="G116" s="114"/>
      <c r="H116" s="113"/>
      <c r="I116" s="114"/>
      <c r="J116" s="114"/>
      <c r="K116" s="114"/>
      <c r="L116" s="110"/>
      <c r="M116" s="110"/>
      <c r="N116" s="110"/>
      <c r="O116" s="110"/>
      <c r="P116" s="110"/>
      <c r="Q116" s="110"/>
      <c r="R116" s="110"/>
      <c r="S116" s="110"/>
      <c r="T116" s="112"/>
      <c r="U116" s="5"/>
      <c r="V116" s="5"/>
      <c r="W116" s="5"/>
      <c r="X116" s="5"/>
      <c r="Y116" s="5"/>
      <c r="Z116" s="5"/>
      <c r="AA116" s="112"/>
      <c r="AB116" s="5"/>
      <c r="AC116" s="5"/>
    </row>
    <row r="117" ht="18.0" customHeight="1">
      <c r="A117" s="109"/>
      <c r="B117" s="110"/>
      <c r="C117" s="111"/>
      <c r="D117" s="112"/>
      <c r="E117" s="113"/>
      <c r="F117" s="114"/>
      <c r="G117" s="114"/>
      <c r="H117" s="113"/>
      <c r="I117" s="114"/>
      <c r="J117" s="114"/>
      <c r="K117" s="114"/>
      <c r="L117" s="110"/>
      <c r="M117" s="110"/>
      <c r="N117" s="110"/>
      <c r="O117" s="110"/>
      <c r="P117" s="110"/>
      <c r="Q117" s="110"/>
      <c r="R117" s="110"/>
      <c r="S117" s="110"/>
      <c r="T117" s="112"/>
      <c r="U117" s="5"/>
      <c r="V117" s="5"/>
      <c r="W117" s="5"/>
      <c r="X117" s="5"/>
      <c r="Y117" s="5"/>
      <c r="Z117" s="5"/>
      <c r="AA117" s="112"/>
      <c r="AB117" s="5"/>
      <c r="AC117" s="5"/>
    </row>
    <row r="118" ht="18.0" customHeight="1">
      <c r="A118" s="109"/>
      <c r="B118" s="110"/>
      <c r="C118" s="111"/>
      <c r="D118" s="112"/>
      <c r="E118" s="113"/>
      <c r="F118" s="114"/>
      <c r="G118" s="114"/>
      <c r="H118" s="113"/>
      <c r="I118" s="114"/>
      <c r="J118" s="114"/>
      <c r="K118" s="114"/>
      <c r="L118" s="110"/>
      <c r="M118" s="110"/>
      <c r="N118" s="110"/>
      <c r="O118" s="110"/>
      <c r="P118" s="110"/>
      <c r="Q118" s="110"/>
      <c r="R118" s="110"/>
      <c r="S118" s="110"/>
      <c r="T118" s="112"/>
      <c r="U118" s="5"/>
      <c r="V118" s="5"/>
      <c r="W118" s="5"/>
      <c r="X118" s="5"/>
      <c r="Y118" s="5"/>
      <c r="Z118" s="5"/>
      <c r="AA118" s="112"/>
      <c r="AB118" s="5"/>
      <c r="AC118" s="5"/>
    </row>
    <row r="119" ht="18.0" customHeight="1">
      <c r="A119" s="109"/>
      <c r="B119" s="110"/>
      <c r="C119" s="111"/>
      <c r="D119" s="112"/>
      <c r="E119" s="113"/>
      <c r="F119" s="114"/>
      <c r="G119" s="114"/>
      <c r="H119" s="113"/>
      <c r="I119" s="114"/>
      <c r="J119" s="114"/>
      <c r="K119" s="114"/>
      <c r="L119" s="110"/>
      <c r="M119" s="110"/>
      <c r="N119" s="110"/>
      <c r="O119" s="110"/>
      <c r="P119" s="110"/>
      <c r="Q119" s="110"/>
      <c r="R119" s="110"/>
      <c r="S119" s="110"/>
      <c r="T119" s="112"/>
      <c r="U119" s="5"/>
      <c r="V119" s="5"/>
      <c r="W119" s="5"/>
      <c r="X119" s="5"/>
      <c r="Y119" s="5"/>
      <c r="Z119" s="5"/>
      <c r="AA119" s="112"/>
      <c r="AB119" s="5"/>
      <c r="AC119" s="5"/>
    </row>
    <row r="120" ht="18.0" customHeight="1">
      <c r="A120" s="109"/>
      <c r="B120" s="110"/>
      <c r="C120" s="111"/>
      <c r="D120" s="112"/>
      <c r="E120" s="113"/>
      <c r="F120" s="114"/>
      <c r="G120" s="114"/>
      <c r="H120" s="113"/>
      <c r="I120" s="114"/>
      <c r="J120" s="114"/>
      <c r="K120" s="114"/>
      <c r="L120" s="110"/>
      <c r="M120" s="110"/>
      <c r="N120" s="110"/>
      <c r="O120" s="110"/>
      <c r="P120" s="110"/>
      <c r="Q120" s="110"/>
      <c r="R120" s="110"/>
      <c r="S120" s="110"/>
      <c r="T120" s="112"/>
      <c r="U120" s="5"/>
      <c r="V120" s="5"/>
      <c r="W120" s="5"/>
      <c r="X120" s="5"/>
      <c r="Y120" s="5"/>
      <c r="Z120" s="5"/>
      <c r="AA120" s="112"/>
      <c r="AB120" s="5"/>
      <c r="AC120" s="5"/>
    </row>
    <row r="121" ht="18.0" customHeight="1">
      <c r="A121" s="109"/>
      <c r="B121" s="110"/>
      <c r="C121" s="111"/>
      <c r="D121" s="112"/>
      <c r="E121" s="113"/>
      <c r="F121" s="114"/>
      <c r="G121" s="114"/>
      <c r="H121" s="113"/>
      <c r="I121" s="114"/>
      <c r="J121" s="114"/>
      <c r="K121" s="114"/>
      <c r="L121" s="110"/>
      <c r="M121" s="110"/>
      <c r="N121" s="110"/>
      <c r="O121" s="110"/>
      <c r="P121" s="110"/>
      <c r="Q121" s="110"/>
      <c r="R121" s="110"/>
      <c r="S121" s="110"/>
      <c r="T121" s="112"/>
      <c r="U121" s="5"/>
      <c r="V121" s="5"/>
      <c r="W121" s="5"/>
      <c r="X121" s="5"/>
      <c r="Y121" s="5"/>
      <c r="Z121" s="5"/>
      <c r="AA121" s="112"/>
      <c r="AB121" s="5"/>
      <c r="AC121" s="5"/>
    </row>
    <row r="122" ht="18.0" customHeight="1">
      <c r="A122" s="109"/>
      <c r="B122" s="110"/>
      <c r="C122" s="111"/>
      <c r="D122" s="112"/>
      <c r="E122" s="113"/>
      <c r="F122" s="114"/>
      <c r="G122" s="114"/>
      <c r="H122" s="113"/>
      <c r="I122" s="114"/>
      <c r="J122" s="114"/>
      <c r="K122" s="114"/>
      <c r="L122" s="110"/>
      <c r="M122" s="110"/>
      <c r="N122" s="110"/>
      <c r="O122" s="110"/>
      <c r="P122" s="110"/>
      <c r="Q122" s="110"/>
      <c r="R122" s="110"/>
      <c r="S122" s="110"/>
      <c r="T122" s="112"/>
      <c r="U122" s="5"/>
      <c r="V122" s="5"/>
      <c r="W122" s="5"/>
      <c r="X122" s="5"/>
      <c r="Y122" s="5"/>
      <c r="Z122" s="5"/>
      <c r="AA122" s="112"/>
      <c r="AB122" s="5"/>
      <c r="AC122" s="5"/>
    </row>
    <row r="123" ht="18.0" customHeight="1">
      <c r="A123" s="109"/>
      <c r="B123" s="110"/>
      <c r="C123" s="111"/>
      <c r="D123" s="112"/>
      <c r="E123" s="113"/>
      <c r="F123" s="114"/>
      <c r="G123" s="114"/>
      <c r="H123" s="113"/>
      <c r="I123" s="114"/>
      <c r="J123" s="114"/>
      <c r="K123" s="114"/>
      <c r="L123" s="110"/>
      <c r="M123" s="110"/>
      <c r="N123" s="110"/>
      <c r="O123" s="110"/>
      <c r="P123" s="110"/>
      <c r="Q123" s="110"/>
      <c r="R123" s="110"/>
      <c r="S123" s="110"/>
      <c r="T123" s="112"/>
      <c r="U123" s="5"/>
      <c r="V123" s="5"/>
      <c r="W123" s="5"/>
      <c r="X123" s="5"/>
      <c r="Y123" s="5"/>
      <c r="Z123" s="5"/>
      <c r="AA123" s="112"/>
      <c r="AB123" s="5"/>
      <c r="AC123" s="5"/>
    </row>
    <row r="124" ht="18.0" customHeight="1">
      <c r="A124" s="109"/>
      <c r="B124" s="110"/>
      <c r="C124" s="111"/>
      <c r="D124" s="112"/>
      <c r="E124" s="113"/>
      <c r="F124" s="114"/>
      <c r="G124" s="114"/>
      <c r="H124" s="113"/>
      <c r="I124" s="114"/>
      <c r="J124" s="114"/>
      <c r="K124" s="114"/>
      <c r="L124" s="110"/>
      <c r="M124" s="110"/>
      <c r="N124" s="110"/>
      <c r="O124" s="110"/>
      <c r="P124" s="110"/>
      <c r="Q124" s="110"/>
      <c r="R124" s="110"/>
      <c r="S124" s="110"/>
      <c r="T124" s="112"/>
      <c r="U124" s="5"/>
      <c r="V124" s="5"/>
      <c r="W124" s="5"/>
      <c r="X124" s="5"/>
      <c r="Y124" s="5"/>
      <c r="Z124" s="5"/>
      <c r="AA124" s="112"/>
      <c r="AB124" s="5"/>
      <c r="AC124" s="5"/>
    </row>
    <row r="125" ht="18.0" customHeight="1">
      <c r="A125" s="109"/>
      <c r="B125" s="110"/>
      <c r="C125" s="111"/>
      <c r="D125" s="112"/>
      <c r="E125" s="113"/>
      <c r="F125" s="114"/>
      <c r="G125" s="114"/>
      <c r="H125" s="113"/>
      <c r="I125" s="114"/>
      <c r="J125" s="114"/>
      <c r="K125" s="114"/>
      <c r="L125" s="110"/>
      <c r="M125" s="110"/>
      <c r="N125" s="110"/>
      <c r="O125" s="110"/>
      <c r="P125" s="110"/>
      <c r="Q125" s="110"/>
      <c r="R125" s="110"/>
      <c r="S125" s="110"/>
      <c r="T125" s="112"/>
      <c r="U125" s="5"/>
      <c r="V125" s="5"/>
      <c r="W125" s="5"/>
      <c r="X125" s="5"/>
      <c r="Y125" s="5"/>
      <c r="Z125" s="5"/>
      <c r="AA125" s="112"/>
      <c r="AB125" s="5"/>
      <c r="AC125" s="5"/>
    </row>
    <row r="126" ht="18.0" customHeight="1">
      <c r="A126" s="109"/>
      <c r="B126" s="110"/>
      <c r="C126" s="111"/>
      <c r="D126" s="112"/>
      <c r="E126" s="113"/>
      <c r="F126" s="114"/>
      <c r="G126" s="114"/>
      <c r="H126" s="113"/>
      <c r="I126" s="114"/>
      <c r="J126" s="114"/>
      <c r="K126" s="114"/>
      <c r="L126" s="110"/>
      <c r="M126" s="110"/>
      <c r="N126" s="110"/>
      <c r="O126" s="110"/>
      <c r="P126" s="110"/>
      <c r="Q126" s="110"/>
      <c r="R126" s="110"/>
      <c r="S126" s="110"/>
      <c r="T126" s="112"/>
      <c r="U126" s="5"/>
      <c r="V126" s="5"/>
      <c r="W126" s="5"/>
      <c r="X126" s="5"/>
      <c r="Y126" s="5"/>
      <c r="Z126" s="5"/>
      <c r="AA126" s="112"/>
      <c r="AB126" s="5"/>
      <c r="AC126" s="5"/>
    </row>
    <row r="127" ht="18.0" customHeight="1">
      <c r="A127" s="109"/>
      <c r="B127" s="110"/>
      <c r="C127" s="111"/>
      <c r="D127" s="112"/>
      <c r="E127" s="113"/>
      <c r="F127" s="114"/>
      <c r="G127" s="114"/>
      <c r="H127" s="113"/>
      <c r="I127" s="114"/>
      <c r="J127" s="114"/>
      <c r="K127" s="114"/>
      <c r="L127" s="110"/>
      <c r="M127" s="110"/>
      <c r="N127" s="110"/>
      <c r="O127" s="110"/>
      <c r="P127" s="110"/>
      <c r="Q127" s="110"/>
      <c r="R127" s="110"/>
      <c r="S127" s="110"/>
      <c r="T127" s="112"/>
      <c r="U127" s="5"/>
      <c r="V127" s="5"/>
      <c r="W127" s="5"/>
      <c r="X127" s="5"/>
      <c r="Y127" s="5"/>
      <c r="Z127" s="5"/>
      <c r="AA127" s="112"/>
      <c r="AB127" s="5"/>
      <c r="AC127" s="5"/>
    </row>
    <row r="128" ht="18.0" customHeight="1">
      <c r="A128" s="109"/>
      <c r="B128" s="110"/>
      <c r="C128" s="111"/>
      <c r="D128" s="112"/>
      <c r="E128" s="113"/>
      <c r="F128" s="114"/>
      <c r="G128" s="114"/>
      <c r="H128" s="113"/>
      <c r="I128" s="114"/>
      <c r="J128" s="114"/>
      <c r="K128" s="114"/>
      <c r="L128" s="110"/>
      <c r="M128" s="110"/>
      <c r="N128" s="110"/>
      <c r="O128" s="110"/>
      <c r="P128" s="110"/>
      <c r="Q128" s="110"/>
      <c r="R128" s="110"/>
      <c r="S128" s="110"/>
      <c r="T128" s="112"/>
      <c r="U128" s="5"/>
      <c r="V128" s="5"/>
      <c r="W128" s="5"/>
      <c r="X128" s="5"/>
      <c r="Y128" s="5"/>
      <c r="Z128" s="5"/>
      <c r="AA128" s="112"/>
      <c r="AB128" s="5"/>
      <c r="AC128" s="5"/>
    </row>
    <row r="129" ht="18.0" customHeight="1">
      <c r="A129" s="109"/>
      <c r="B129" s="110"/>
      <c r="C129" s="111"/>
      <c r="D129" s="112"/>
      <c r="E129" s="113"/>
      <c r="F129" s="114"/>
      <c r="G129" s="114"/>
      <c r="H129" s="113"/>
      <c r="I129" s="114"/>
      <c r="J129" s="114"/>
      <c r="K129" s="114"/>
      <c r="L129" s="110"/>
      <c r="M129" s="110"/>
      <c r="N129" s="110"/>
      <c r="O129" s="110"/>
      <c r="P129" s="110"/>
      <c r="Q129" s="110"/>
      <c r="R129" s="110"/>
      <c r="S129" s="110"/>
      <c r="T129" s="112"/>
      <c r="U129" s="5"/>
      <c r="V129" s="5"/>
      <c r="W129" s="5"/>
      <c r="X129" s="5"/>
      <c r="Y129" s="5"/>
      <c r="Z129" s="5"/>
      <c r="AA129" s="112"/>
      <c r="AB129" s="5"/>
      <c r="AC129" s="5"/>
    </row>
    <row r="130" ht="18.0" customHeight="1">
      <c r="A130" s="109"/>
      <c r="B130" s="110"/>
      <c r="C130" s="111"/>
      <c r="D130" s="112"/>
      <c r="E130" s="113"/>
      <c r="F130" s="114"/>
      <c r="G130" s="114"/>
      <c r="H130" s="113"/>
      <c r="I130" s="114"/>
      <c r="J130" s="114"/>
      <c r="K130" s="114"/>
      <c r="L130" s="110"/>
      <c r="M130" s="110"/>
      <c r="N130" s="110"/>
      <c r="O130" s="110"/>
      <c r="P130" s="110"/>
      <c r="Q130" s="110"/>
      <c r="R130" s="110"/>
      <c r="S130" s="110"/>
      <c r="T130" s="112"/>
      <c r="U130" s="5"/>
      <c r="V130" s="5"/>
      <c r="W130" s="5"/>
      <c r="X130" s="5"/>
      <c r="Y130" s="5"/>
      <c r="Z130" s="5"/>
      <c r="AA130" s="112"/>
      <c r="AB130" s="5"/>
      <c r="AC130" s="5"/>
    </row>
    <row r="131" ht="18.0" customHeight="1">
      <c r="A131" s="109"/>
      <c r="B131" s="110"/>
      <c r="C131" s="111"/>
      <c r="D131" s="112"/>
      <c r="E131" s="113"/>
      <c r="F131" s="114"/>
      <c r="G131" s="114"/>
      <c r="H131" s="113"/>
      <c r="I131" s="114"/>
      <c r="J131" s="114"/>
      <c r="K131" s="114"/>
      <c r="L131" s="110"/>
      <c r="M131" s="110"/>
      <c r="N131" s="110"/>
      <c r="O131" s="110"/>
      <c r="P131" s="110"/>
      <c r="Q131" s="110"/>
      <c r="R131" s="110"/>
      <c r="S131" s="110"/>
      <c r="T131" s="112"/>
      <c r="U131" s="5"/>
      <c r="V131" s="5"/>
      <c r="W131" s="5"/>
      <c r="X131" s="5"/>
      <c r="Y131" s="5"/>
      <c r="Z131" s="5"/>
      <c r="AA131" s="112"/>
      <c r="AB131" s="5"/>
      <c r="AC131" s="5"/>
    </row>
    <row r="132" ht="18.0" customHeight="1">
      <c r="A132" s="109"/>
      <c r="B132" s="110"/>
      <c r="C132" s="111"/>
      <c r="D132" s="112"/>
      <c r="E132" s="113"/>
      <c r="F132" s="114"/>
      <c r="G132" s="114"/>
      <c r="H132" s="113"/>
      <c r="I132" s="114"/>
      <c r="J132" s="114"/>
      <c r="K132" s="114"/>
      <c r="L132" s="110"/>
      <c r="M132" s="110"/>
      <c r="N132" s="110"/>
      <c r="O132" s="110"/>
      <c r="P132" s="110"/>
      <c r="Q132" s="110"/>
      <c r="R132" s="110"/>
      <c r="S132" s="110"/>
      <c r="T132" s="112"/>
      <c r="U132" s="5"/>
      <c r="V132" s="5"/>
      <c r="W132" s="5"/>
      <c r="X132" s="5"/>
      <c r="Y132" s="5"/>
      <c r="Z132" s="5"/>
      <c r="AA132" s="112"/>
      <c r="AB132" s="5"/>
      <c r="AC132" s="5"/>
    </row>
    <row r="133" ht="18.0" customHeight="1">
      <c r="A133" s="109"/>
      <c r="B133" s="110"/>
      <c r="C133" s="111"/>
      <c r="D133" s="112"/>
      <c r="E133" s="113"/>
      <c r="F133" s="114"/>
      <c r="G133" s="114"/>
      <c r="H133" s="113"/>
      <c r="I133" s="114"/>
      <c r="J133" s="114"/>
      <c r="K133" s="114"/>
      <c r="L133" s="110"/>
      <c r="M133" s="110"/>
      <c r="N133" s="110"/>
      <c r="O133" s="110"/>
      <c r="P133" s="110"/>
      <c r="Q133" s="110"/>
      <c r="R133" s="110"/>
      <c r="S133" s="110"/>
      <c r="T133" s="112"/>
      <c r="U133" s="5"/>
      <c r="V133" s="5"/>
      <c r="W133" s="5"/>
      <c r="X133" s="5"/>
      <c r="Y133" s="5"/>
      <c r="Z133" s="5"/>
      <c r="AA133" s="112"/>
      <c r="AB133" s="5"/>
      <c r="AC133" s="5"/>
    </row>
    <row r="134" ht="18.0" customHeight="1">
      <c r="A134" s="109"/>
      <c r="B134" s="110"/>
      <c r="C134" s="111"/>
      <c r="D134" s="112"/>
      <c r="E134" s="113"/>
      <c r="F134" s="114"/>
      <c r="G134" s="114"/>
      <c r="H134" s="113"/>
      <c r="I134" s="114"/>
      <c r="J134" s="114"/>
      <c r="K134" s="114"/>
      <c r="L134" s="110"/>
      <c r="M134" s="110"/>
      <c r="N134" s="110"/>
      <c r="O134" s="110"/>
      <c r="P134" s="110"/>
      <c r="Q134" s="110"/>
      <c r="R134" s="110"/>
      <c r="S134" s="110"/>
      <c r="T134" s="112"/>
      <c r="U134" s="5"/>
      <c r="V134" s="5"/>
      <c r="W134" s="5"/>
      <c r="X134" s="5"/>
      <c r="Y134" s="5"/>
      <c r="Z134" s="5"/>
      <c r="AA134" s="112"/>
      <c r="AB134" s="5"/>
      <c r="AC134" s="5"/>
    </row>
    <row r="135" ht="18.0" customHeight="1">
      <c r="A135" s="109"/>
      <c r="B135" s="110"/>
      <c r="C135" s="111"/>
      <c r="D135" s="112"/>
      <c r="E135" s="113"/>
      <c r="F135" s="114"/>
      <c r="G135" s="114"/>
      <c r="H135" s="113"/>
      <c r="I135" s="114"/>
      <c r="J135" s="114"/>
      <c r="K135" s="114"/>
      <c r="L135" s="110"/>
      <c r="M135" s="110"/>
      <c r="N135" s="110"/>
      <c r="O135" s="110"/>
      <c r="P135" s="110"/>
      <c r="Q135" s="110"/>
      <c r="R135" s="110"/>
      <c r="S135" s="110"/>
      <c r="T135" s="112"/>
      <c r="U135" s="5"/>
      <c r="V135" s="5"/>
      <c r="W135" s="5"/>
      <c r="X135" s="5"/>
      <c r="Y135" s="5"/>
      <c r="Z135" s="5"/>
      <c r="AA135" s="112"/>
      <c r="AB135" s="5"/>
      <c r="AC135" s="5"/>
    </row>
    <row r="136" ht="18.0" customHeight="1">
      <c r="A136" s="109"/>
      <c r="B136" s="110"/>
      <c r="C136" s="111"/>
      <c r="D136" s="112"/>
      <c r="E136" s="113"/>
      <c r="F136" s="114"/>
      <c r="G136" s="114"/>
      <c r="H136" s="113"/>
      <c r="I136" s="114"/>
      <c r="J136" s="114"/>
      <c r="K136" s="114"/>
      <c r="L136" s="110"/>
      <c r="M136" s="110"/>
      <c r="N136" s="110"/>
      <c r="O136" s="110"/>
      <c r="P136" s="110"/>
      <c r="Q136" s="110"/>
      <c r="R136" s="110"/>
      <c r="S136" s="110"/>
      <c r="T136" s="112"/>
      <c r="U136" s="5"/>
      <c r="V136" s="5"/>
      <c r="W136" s="5"/>
      <c r="X136" s="5"/>
      <c r="Y136" s="5"/>
      <c r="Z136" s="5"/>
      <c r="AA136" s="112"/>
      <c r="AB136" s="5"/>
      <c r="AC136" s="5"/>
    </row>
    <row r="137" ht="18.0" customHeight="1">
      <c r="A137" s="109"/>
      <c r="B137" s="110"/>
      <c r="C137" s="111"/>
      <c r="D137" s="112"/>
      <c r="E137" s="113"/>
      <c r="F137" s="114"/>
      <c r="G137" s="114"/>
      <c r="H137" s="113"/>
      <c r="I137" s="114"/>
      <c r="J137" s="114"/>
      <c r="K137" s="114"/>
      <c r="L137" s="110"/>
      <c r="M137" s="110"/>
      <c r="N137" s="110"/>
      <c r="O137" s="110"/>
      <c r="P137" s="110"/>
      <c r="Q137" s="110"/>
      <c r="R137" s="110"/>
      <c r="S137" s="110"/>
      <c r="T137" s="112"/>
      <c r="U137" s="5"/>
      <c r="V137" s="5"/>
      <c r="W137" s="5"/>
      <c r="X137" s="5"/>
      <c r="Y137" s="5"/>
      <c r="Z137" s="5"/>
      <c r="AA137" s="112"/>
      <c r="AB137" s="5"/>
      <c r="AC137" s="5"/>
    </row>
    <row r="138" ht="18.0" customHeight="1">
      <c r="A138" s="109"/>
      <c r="B138" s="110"/>
      <c r="C138" s="111"/>
      <c r="D138" s="112"/>
      <c r="E138" s="113"/>
      <c r="F138" s="114"/>
      <c r="G138" s="114"/>
      <c r="H138" s="113"/>
      <c r="I138" s="114"/>
      <c r="J138" s="114"/>
      <c r="K138" s="114"/>
      <c r="L138" s="110"/>
      <c r="M138" s="110"/>
      <c r="N138" s="110"/>
      <c r="O138" s="110"/>
      <c r="P138" s="110"/>
      <c r="Q138" s="110"/>
      <c r="R138" s="110"/>
      <c r="S138" s="110"/>
      <c r="T138" s="112"/>
      <c r="U138" s="5"/>
      <c r="V138" s="5"/>
      <c r="W138" s="5"/>
      <c r="X138" s="5"/>
      <c r="Y138" s="5"/>
      <c r="Z138" s="5"/>
      <c r="AA138" s="112"/>
      <c r="AB138" s="5"/>
      <c r="AC138" s="5"/>
    </row>
    <row r="139" ht="18.0" customHeight="1">
      <c r="A139" s="109"/>
      <c r="B139" s="110"/>
      <c r="C139" s="111"/>
      <c r="D139" s="112"/>
      <c r="E139" s="113"/>
      <c r="F139" s="114"/>
      <c r="G139" s="114"/>
      <c r="H139" s="113"/>
      <c r="I139" s="114"/>
      <c r="J139" s="114"/>
      <c r="K139" s="114"/>
      <c r="L139" s="110"/>
      <c r="M139" s="110"/>
      <c r="N139" s="110"/>
      <c r="O139" s="110"/>
      <c r="P139" s="110"/>
      <c r="Q139" s="110"/>
      <c r="R139" s="110"/>
      <c r="S139" s="110"/>
      <c r="T139" s="112"/>
      <c r="U139" s="5"/>
      <c r="V139" s="5"/>
      <c r="W139" s="5"/>
      <c r="X139" s="5"/>
      <c r="Y139" s="5"/>
      <c r="Z139" s="5"/>
      <c r="AA139" s="112"/>
      <c r="AB139" s="5"/>
      <c r="AC139" s="5"/>
    </row>
    <row r="140" ht="18.0" customHeight="1">
      <c r="A140" s="109"/>
      <c r="B140" s="110"/>
      <c r="C140" s="111"/>
      <c r="D140" s="112"/>
      <c r="E140" s="113"/>
      <c r="F140" s="114"/>
      <c r="G140" s="114"/>
      <c r="H140" s="113"/>
      <c r="I140" s="114"/>
      <c r="J140" s="114"/>
      <c r="K140" s="114"/>
      <c r="L140" s="110"/>
      <c r="M140" s="110"/>
      <c r="N140" s="110"/>
      <c r="O140" s="110"/>
      <c r="P140" s="110"/>
      <c r="Q140" s="110"/>
      <c r="R140" s="110"/>
      <c r="S140" s="110"/>
      <c r="T140" s="112"/>
      <c r="U140" s="5"/>
      <c r="V140" s="5"/>
      <c r="W140" s="5"/>
      <c r="X140" s="5"/>
      <c r="Y140" s="5"/>
      <c r="Z140" s="5"/>
      <c r="AA140" s="112"/>
      <c r="AB140" s="5"/>
      <c r="AC140" s="5"/>
    </row>
    <row r="141" ht="18.0" customHeight="1">
      <c r="A141" s="109"/>
      <c r="B141" s="110"/>
      <c r="C141" s="111"/>
      <c r="D141" s="112"/>
      <c r="E141" s="113"/>
      <c r="F141" s="114"/>
      <c r="G141" s="114"/>
      <c r="H141" s="113"/>
      <c r="I141" s="114"/>
      <c r="J141" s="114"/>
      <c r="K141" s="114"/>
      <c r="L141" s="110"/>
      <c r="M141" s="110"/>
      <c r="N141" s="110"/>
      <c r="O141" s="110"/>
      <c r="P141" s="110"/>
      <c r="Q141" s="110"/>
      <c r="R141" s="110"/>
      <c r="S141" s="110"/>
      <c r="T141" s="112"/>
      <c r="U141" s="5"/>
      <c r="V141" s="5"/>
      <c r="W141" s="5"/>
      <c r="X141" s="5"/>
      <c r="Y141" s="5"/>
      <c r="Z141" s="5"/>
      <c r="AA141" s="112"/>
      <c r="AB141" s="5"/>
      <c r="AC141" s="5"/>
    </row>
    <row r="142" ht="18.0" customHeight="1">
      <c r="A142" s="109"/>
      <c r="B142" s="110"/>
      <c r="C142" s="111"/>
      <c r="D142" s="112"/>
      <c r="E142" s="113"/>
      <c r="F142" s="114"/>
      <c r="G142" s="114"/>
      <c r="H142" s="113"/>
      <c r="I142" s="114"/>
      <c r="J142" s="114"/>
      <c r="K142" s="114"/>
      <c r="L142" s="110"/>
      <c r="M142" s="110"/>
      <c r="N142" s="110"/>
      <c r="O142" s="110"/>
      <c r="P142" s="110"/>
      <c r="Q142" s="110"/>
      <c r="R142" s="110"/>
      <c r="S142" s="110"/>
      <c r="T142" s="112"/>
      <c r="U142" s="5"/>
      <c r="V142" s="5"/>
      <c r="W142" s="5"/>
      <c r="X142" s="5"/>
      <c r="Y142" s="5"/>
      <c r="Z142" s="5"/>
      <c r="AA142" s="112"/>
      <c r="AB142" s="5"/>
      <c r="AC142" s="5"/>
    </row>
    <row r="143" ht="18.0" customHeight="1">
      <c r="A143" s="109"/>
      <c r="B143" s="110"/>
      <c r="C143" s="111"/>
      <c r="D143" s="112"/>
      <c r="E143" s="113"/>
      <c r="F143" s="114"/>
      <c r="G143" s="114"/>
      <c r="H143" s="113"/>
      <c r="I143" s="114"/>
      <c r="J143" s="114"/>
      <c r="K143" s="114"/>
      <c r="L143" s="110"/>
      <c r="M143" s="110"/>
      <c r="N143" s="110"/>
      <c r="O143" s="110"/>
      <c r="P143" s="110"/>
      <c r="Q143" s="110"/>
      <c r="R143" s="110"/>
      <c r="S143" s="110"/>
      <c r="T143" s="112"/>
      <c r="U143" s="5"/>
      <c r="V143" s="5"/>
      <c r="W143" s="5"/>
      <c r="X143" s="5"/>
      <c r="Y143" s="5"/>
      <c r="Z143" s="5"/>
      <c r="AA143" s="112"/>
      <c r="AB143" s="5"/>
      <c r="AC143" s="5"/>
    </row>
    <row r="144" ht="18.0" customHeight="1">
      <c r="A144" s="109"/>
      <c r="B144" s="110"/>
      <c r="C144" s="111"/>
      <c r="D144" s="112"/>
      <c r="E144" s="113"/>
      <c r="F144" s="114"/>
      <c r="G144" s="114"/>
      <c r="H144" s="113"/>
      <c r="I144" s="114"/>
      <c r="J144" s="114"/>
      <c r="K144" s="114"/>
      <c r="L144" s="110"/>
      <c r="M144" s="110"/>
      <c r="N144" s="110"/>
      <c r="O144" s="110"/>
      <c r="P144" s="110"/>
      <c r="Q144" s="110"/>
      <c r="R144" s="110"/>
      <c r="S144" s="110"/>
      <c r="T144" s="112"/>
      <c r="U144" s="5"/>
      <c r="V144" s="5"/>
      <c r="W144" s="5"/>
      <c r="X144" s="5"/>
      <c r="Y144" s="5"/>
      <c r="Z144" s="5"/>
      <c r="AA144" s="112"/>
      <c r="AB144" s="5"/>
      <c r="AC144" s="5"/>
    </row>
    <row r="145" ht="18.0" customHeight="1">
      <c r="A145" s="109"/>
      <c r="B145" s="110"/>
      <c r="C145" s="111"/>
      <c r="D145" s="112"/>
      <c r="E145" s="113"/>
      <c r="F145" s="114"/>
      <c r="G145" s="114"/>
      <c r="H145" s="113"/>
      <c r="I145" s="114"/>
      <c r="J145" s="114"/>
      <c r="K145" s="114"/>
      <c r="L145" s="110"/>
      <c r="M145" s="110"/>
      <c r="N145" s="110"/>
      <c r="O145" s="110"/>
      <c r="P145" s="110"/>
      <c r="Q145" s="110"/>
      <c r="R145" s="110"/>
      <c r="S145" s="110"/>
      <c r="T145" s="112"/>
      <c r="U145" s="5"/>
      <c r="V145" s="5"/>
      <c r="W145" s="5"/>
      <c r="X145" s="5"/>
      <c r="Y145" s="5"/>
      <c r="Z145" s="5"/>
      <c r="AA145" s="112"/>
      <c r="AB145" s="5"/>
      <c r="AC145" s="5"/>
    </row>
    <row r="146" ht="18.0" customHeight="1">
      <c r="A146" s="109"/>
      <c r="B146" s="110"/>
      <c r="C146" s="111"/>
      <c r="D146" s="112"/>
      <c r="E146" s="113"/>
      <c r="F146" s="114"/>
      <c r="G146" s="114"/>
      <c r="H146" s="113"/>
      <c r="I146" s="114"/>
      <c r="J146" s="114"/>
      <c r="K146" s="114"/>
      <c r="L146" s="110"/>
      <c r="M146" s="110"/>
      <c r="N146" s="110"/>
      <c r="O146" s="110"/>
      <c r="P146" s="110"/>
      <c r="Q146" s="110"/>
      <c r="R146" s="110"/>
      <c r="S146" s="110"/>
      <c r="T146" s="112"/>
      <c r="U146" s="5"/>
      <c r="V146" s="5"/>
      <c r="W146" s="5"/>
      <c r="X146" s="5"/>
      <c r="Y146" s="5"/>
      <c r="Z146" s="5"/>
      <c r="AA146" s="112"/>
      <c r="AB146" s="5"/>
      <c r="AC146" s="5"/>
    </row>
    <row r="147" ht="18.0" customHeight="1">
      <c r="A147" s="109"/>
      <c r="B147" s="110"/>
      <c r="C147" s="111"/>
      <c r="D147" s="112"/>
      <c r="E147" s="113"/>
      <c r="F147" s="114"/>
      <c r="G147" s="114"/>
      <c r="H147" s="113"/>
      <c r="I147" s="114"/>
      <c r="J147" s="114"/>
      <c r="K147" s="114"/>
      <c r="L147" s="110"/>
      <c r="M147" s="110"/>
      <c r="N147" s="110"/>
      <c r="O147" s="110"/>
      <c r="P147" s="110"/>
      <c r="Q147" s="110"/>
      <c r="R147" s="110"/>
      <c r="S147" s="110"/>
      <c r="T147" s="112"/>
      <c r="U147" s="5"/>
      <c r="V147" s="5"/>
      <c r="W147" s="5"/>
      <c r="X147" s="5"/>
      <c r="Y147" s="5"/>
      <c r="Z147" s="5"/>
      <c r="AA147" s="112"/>
      <c r="AB147" s="5"/>
      <c r="AC147" s="5"/>
    </row>
    <row r="148" ht="18.0" customHeight="1">
      <c r="A148" s="109"/>
      <c r="B148" s="110"/>
      <c r="C148" s="111"/>
      <c r="D148" s="112"/>
      <c r="E148" s="113"/>
      <c r="F148" s="114"/>
      <c r="G148" s="114"/>
      <c r="H148" s="113"/>
      <c r="I148" s="114"/>
      <c r="J148" s="114"/>
      <c r="K148" s="114"/>
      <c r="L148" s="110"/>
      <c r="M148" s="110"/>
      <c r="N148" s="110"/>
      <c r="O148" s="110"/>
      <c r="P148" s="110"/>
      <c r="Q148" s="110"/>
      <c r="R148" s="110"/>
      <c r="S148" s="110"/>
      <c r="T148" s="112"/>
      <c r="U148" s="5"/>
      <c r="V148" s="5"/>
      <c r="W148" s="5"/>
      <c r="X148" s="5"/>
      <c r="Y148" s="5"/>
      <c r="Z148" s="5"/>
      <c r="AA148" s="112"/>
      <c r="AB148" s="5"/>
      <c r="AC148" s="5"/>
    </row>
    <row r="149" ht="18.0" customHeight="1">
      <c r="A149" s="109"/>
      <c r="B149" s="110"/>
      <c r="C149" s="111"/>
      <c r="D149" s="112"/>
      <c r="E149" s="113"/>
      <c r="F149" s="114"/>
      <c r="G149" s="114"/>
      <c r="H149" s="113"/>
      <c r="I149" s="114"/>
      <c r="J149" s="114"/>
      <c r="K149" s="114"/>
      <c r="L149" s="110"/>
      <c r="M149" s="110"/>
      <c r="N149" s="110"/>
      <c r="O149" s="110"/>
      <c r="P149" s="110"/>
      <c r="Q149" s="110"/>
      <c r="R149" s="110"/>
      <c r="S149" s="110"/>
      <c r="T149" s="112"/>
      <c r="U149" s="5"/>
      <c r="V149" s="5"/>
      <c r="W149" s="5"/>
      <c r="X149" s="5"/>
      <c r="Y149" s="5"/>
      <c r="Z149" s="5"/>
      <c r="AA149" s="112"/>
      <c r="AB149" s="5"/>
      <c r="AC149" s="5"/>
    </row>
    <row r="150" ht="18.0" customHeight="1">
      <c r="A150" s="109"/>
      <c r="B150" s="110"/>
      <c r="C150" s="111"/>
      <c r="D150" s="112"/>
      <c r="E150" s="113"/>
      <c r="F150" s="114"/>
      <c r="G150" s="114"/>
      <c r="H150" s="113"/>
      <c r="I150" s="114"/>
      <c r="J150" s="114"/>
      <c r="K150" s="114"/>
      <c r="L150" s="110"/>
      <c r="M150" s="110"/>
      <c r="N150" s="110"/>
      <c r="O150" s="110"/>
      <c r="P150" s="110"/>
      <c r="Q150" s="110"/>
      <c r="R150" s="110"/>
      <c r="S150" s="110"/>
      <c r="T150" s="112"/>
      <c r="U150" s="5"/>
      <c r="V150" s="5"/>
      <c r="W150" s="5"/>
      <c r="X150" s="5"/>
      <c r="Y150" s="5"/>
      <c r="Z150" s="5"/>
      <c r="AA150" s="112"/>
      <c r="AB150" s="5"/>
      <c r="AC150" s="5"/>
    </row>
    <row r="151" ht="18.0" customHeight="1">
      <c r="A151" s="109"/>
      <c r="B151" s="110"/>
      <c r="C151" s="111"/>
      <c r="D151" s="112"/>
      <c r="E151" s="113"/>
      <c r="F151" s="114"/>
      <c r="G151" s="114"/>
      <c r="H151" s="113"/>
      <c r="I151" s="114"/>
      <c r="J151" s="114"/>
      <c r="K151" s="114"/>
      <c r="L151" s="110"/>
      <c r="M151" s="110"/>
      <c r="N151" s="110"/>
      <c r="O151" s="110"/>
      <c r="P151" s="110"/>
      <c r="Q151" s="110"/>
      <c r="R151" s="110"/>
      <c r="S151" s="110"/>
      <c r="T151" s="112"/>
      <c r="U151" s="5"/>
      <c r="V151" s="5"/>
      <c r="W151" s="5"/>
      <c r="X151" s="5"/>
      <c r="Y151" s="5"/>
      <c r="Z151" s="5"/>
      <c r="AA151" s="112"/>
      <c r="AB151" s="5"/>
      <c r="AC151" s="5"/>
    </row>
    <row r="152" ht="18.0" customHeight="1">
      <c r="A152" s="109"/>
      <c r="B152" s="110"/>
      <c r="C152" s="111"/>
      <c r="D152" s="112"/>
      <c r="E152" s="113"/>
      <c r="F152" s="114"/>
      <c r="G152" s="114"/>
      <c r="H152" s="113"/>
      <c r="I152" s="114"/>
      <c r="J152" s="114"/>
      <c r="K152" s="114"/>
      <c r="L152" s="110"/>
      <c r="M152" s="110"/>
      <c r="N152" s="110"/>
      <c r="O152" s="110"/>
      <c r="P152" s="110"/>
      <c r="Q152" s="110"/>
      <c r="R152" s="110"/>
      <c r="S152" s="110"/>
      <c r="T152" s="112"/>
      <c r="U152" s="5"/>
      <c r="V152" s="5"/>
      <c r="W152" s="5"/>
      <c r="X152" s="5"/>
      <c r="Y152" s="5"/>
      <c r="Z152" s="5"/>
      <c r="AA152" s="112"/>
      <c r="AB152" s="5"/>
      <c r="AC152" s="5"/>
    </row>
    <row r="153" ht="18.0" customHeight="1">
      <c r="A153" s="109"/>
      <c r="B153" s="110"/>
      <c r="C153" s="111"/>
      <c r="D153" s="112"/>
      <c r="E153" s="113"/>
      <c r="F153" s="114"/>
      <c r="G153" s="114"/>
      <c r="H153" s="113"/>
      <c r="I153" s="114"/>
      <c r="J153" s="114"/>
      <c r="K153" s="114"/>
      <c r="L153" s="110"/>
      <c r="M153" s="110"/>
      <c r="N153" s="110"/>
      <c r="O153" s="110"/>
      <c r="P153" s="110"/>
      <c r="Q153" s="110"/>
      <c r="R153" s="110"/>
      <c r="S153" s="110"/>
      <c r="T153" s="112"/>
      <c r="U153" s="5"/>
      <c r="V153" s="5"/>
      <c r="W153" s="5"/>
      <c r="X153" s="5"/>
      <c r="Y153" s="5"/>
      <c r="Z153" s="5"/>
      <c r="AA153" s="112"/>
      <c r="AB153" s="5"/>
      <c r="AC153" s="5"/>
    </row>
    <row r="154" ht="18.0" customHeight="1">
      <c r="A154" s="109"/>
      <c r="B154" s="110"/>
      <c r="C154" s="111"/>
      <c r="D154" s="112"/>
      <c r="E154" s="113"/>
      <c r="F154" s="114"/>
      <c r="G154" s="114"/>
      <c r="H154" s="113"/>
      <c r="I154" s="114"/>
      <c r="J154" s="114"/>
      <c r="K154" s="114"/>
      <c r="L154" s="110"/>
      <c r="M154" s="110"/>
      <c r="N154" s="110"/>
      <c r="O154" s="110"/>
      <c r="P154" s="110"/>
      <c r="Q154" s="110"/>
      <c r="R154" s="110"/>
      <c r="S154" s="110"/>
      <c r="T154" s="112"/>
      <c r="U154" s="5"/>
      <c r="V154" s="5"/>
      <c r="W154" s="5"/>
      <c r="X154" s="5"/>
      <c r="Y154" s="5"/>
      <c r="Z154" s="5"/>
      <c r="AA154" s="112"/>
      <c r="AB154" s="5"/>
      <c r="AC154" s="5"/>
    </row>
    <row r="155" ht="18.0" customHeight="1">
      <c r="A155" s="109"/>
      <c r="B155" s="110"/>
      <c r="C155" s="111"/>
      <c r="D155" s="112"/>
      <c r="E155" s="113"/>
      <c r="F155" s="114"/>
      <c r="G155" s="114"/>
      <c r="H155" s="113"/>
      <c r="I155" s="114"/>
      <c r="J155" s="114"/>
      <c r="K155" s="114"/>
      <c r="L155" s="110"/>
      <c r="M155" s="110"/>
      <c r="N155" s="110"/>
      <c r="O155" s="110"/>
      <c r="P155" s="110"/>
      <c r="Q155" s="110"/>
      <c r="R155" s="110"/>
      <c r="S155" s="110"/>
      <c r="T155" s="112"/>
      <c r="U155" s="5"/>
      <c r="V155" s="5"/>
      <c r="W155" s="5"/>
      <c r="X155" s="5"/>
      <c r="Y155" s="5"/>
      <c r="Z155" s="5"/>
      <c r="AA155" s="112"/>
      <c r="AB155" s="5"/>
      <c r="AC155" s="5"/>
    </row>
    <row r="156" ht="18.0" customHeight="1">
      <c r="A156" s="109"/>
      <c r="B156" s="110"/>
      <c r="C156" s="111"/>
      <c r="D156" s="112"/>
      <c r="E156" s="113"/>
      <c r="F156" s="114"/>
      <c r="G156" s="114"/>
      <c r="H156" s="113"/>
      <c r="I156" s="114"/>
      <c r="J156" s="114"/>
      <c r="K156" s="114"/>
      <c r="L156" s="110"/>
      <c r="M156" s="110"/>
      <c r="N156" s="110"/>
      <c r="O156" s="110"/>
      <c r="P156" s="110"/>
      <c r="Q156" s="110"/>
      <c r="R156" s="110"/>
      <c r="S156" s="110"/>
      <c r="T156" s="112"/>
      <c r="U156" s="5"/>
      <c r="V156" s="5"/>
      <c r="W156" s="5"/>
      <c r="X156" s="5"/>
      <c r="Y156" s="5"/>
      <c r="Z156" s="5"/>
      <c r="AA156" s="112"/>
      <c r="AB156" s="5"/>
      <c r="AC156" s="5"/>
    </row>
    <row r="157" ht="18.0" customHeight="1">
      <c r="A157" s="109"/>
      <c r="B157" s="110"/>
      <c r="C157" s="111"/>
      <c r="D157" s="112"/>
      <c r="E157" s="113"/>
      <c r="F157" s="114"/>
      <c r="G157" s="114"/>
      <c r="H157" s="113"/>
      <c r="I157" s="114"/>
      <c r="J157" s="114"/>
      <c r="K157" s="114"/>
      <c r="L157" s="110"/>
      <c r="M157" s="110"/>
      <c r="N157" s="110"/>
      <c r="O157" s="110"/>
      <c r="P157" s="110"/>
      <c r="Q157" s="110"/>
      <c r="R157" s="110"/>
      <c r="S157" s="110"/>
      <c r="T157" s="112"/>
      <c r="U157" s="5"/>
      <c r="V157" s="5"/>
      <c r="W157" s="5"/>
      <c r="X157" s="5"/>
      <c r="Y157" s="5"/>
      <c r="Z157" s="5"/>
      <c r="AA157" s="112"/>
      <c r="AB157" s="5"/>
      <c r="AC157" s="5"/>
    </row>
    <row r="158" ht="18.0" customHeight="1">
      <c r="A158" s="109"/>
      <c r="B158" s="110"/>
      <c r="C158" s="111"/>
      <c r="D158" s="112"/>
      <c r="E158" s="113"/>
      <c r="F158" s="114"/>
      <c r="G158" s="114"/>
      <c r="H158" s="113"/>
      <c r="I158" s="114"/>
      <c r="J158" s="114"/>
      <c r="K158" s="114"/>
      <c r="L158" s="110"/>
      <c r="M158" s="110"/>
      <c r="N158" s="110"/>
      <c r="O158" s="110"/>
      <c r="P158" s="110"/>
      <c r="Q158" s="110"/>
      <c r="R158" s="110"/>
      <c r="S158" s="110"/>
      <c r="T158" s="112"/>
      <c r="U158" s="5"/>
      <c r="V158" s="5"/>
      <c r="W158" s="5"/>
      <c r="X158" s="5"/>
      <c r="Y158" s="5"/>
      <c r="Z158" s="5"/>
      <c r="AA158" s="112"/>
      <c r="AB158" s="5"/>
      <c r="AC158" s="5"/>
    </row>
    <row r="159" ht="18.0" customHeight="1">
      <c r="A159" s="109"/>
      <c r="B159" s="110"/>
      <c r="C159" s="111"/>
      <c r="D159" s="112"/>
      <c r="E159" s="113"/>
      <c r="F159" s="114"/>
      <c r="G159" s="114"/>
      <c r="H159" s="113"/>
      <c r="I159" s="114"/>
      <c r="J159" s="114"/>
      <c r="K159" s="114"/>
      <c r="L159" s="110"/>
      <c r="M159" s="110"/>
      <c r="N159" s="110"/>
      <c r="O159" s="110"/>
      <c r="P159" s="110"/>
      <c r="Q159" s="110"/>
      <c r="R159" s="110"/>
      <c r="S159" s="110"/>
      <c r="T159" s="112"/>
      <c r="U159" s="5"/>
      <c r="V159" s="5"/>
      <c r="W159" s="5"/>
      <c r="X159" s="5"/>
      <c r="Y159" s="5"/>
      <c r="Z159" s="5"/>
      <c r="AA159" s="112"/>
      <c r="AB159" s="5"/>
      <c r="AC159" s="5"/>
    </row>
    <row r="160" ht="18.0" customHeight="1">
      <c r="A160" s="109"/>
      <c r="B160" s="110"/>
      <c r="C160" s="111"/>
      <c r="D160" s="112"/>
      <c r="E160" s="113"/>
      <c r="F160" s="114"/>
      <c r="G160" s="114"/>
      <c r="H160" s="113"/>
      <c r="I160" s="114"/>
      <c r="J160" s="114"/>
      <c r="K160" s="114"/>
      <c r="L160" s="110"/>
      <c r="M160" s="110"/>
      <c r="N160" s="110"/>
      <c r="O160" s="110"/>
      <c r="P160" s="110"/>
      <c r="Q160" s="110"/>
      <c r="R160" s="110"/>
      <c r="S160" s="110"/>
      <c r="T160" s="112"/>
      <c r="U160" s="5"/>
      <c r="V160" s="5"/>
      <c r="W160" s="5"/>
      <c r="X160" s="5"/>
      <c r="Y160" s="5"/>
      <c r="Z160" s="5"/>
      <c r="AA160" s="112"/>
      <c r="AB160" s="5"/>
      <c r="AC160" s="5"/>
    </row>
    <row r="161" ht="18.0" customHeight="1">
      <c r="A161" s="109"/>
      <c r="B161" s="110"/>
      <c r="C161" s="111"/>
      <c r="D161" s="112"/>
      <c r="E161" s="113"/>
      <c r="F161" s="114"/>
      <c r="G161" s="114"/>
      <c r="H161" s="113"/>
      <c r="I161" s="114"/>
      <c r="J161" s="114"/>
      <c r="K161" s="114"/>
      <c r="L161" s="110"/>
      <c r="M161" s="110"/>
      <c r="N161" s="110"/>
      <c r="O161" s="110"/>
      <c r="P161" s="110"/>
      <c r="Q161" s="110"/>
      <c r="R161" s="110"/>
      <c r="S161" s="110"/>
      <c r="T161" s="112"/>
      <c r="U161" s="5"/>
      <c r="V161" s="5"/>
      <c r="W161" s="5"/>
      <c r="X161" s="5"/>
      <c r="Y161" s="5"/>
      <c r="Z161" s="5"/>
      <c r="AA161" s="112"/>
      <c r="AB161" s="5"/>
      <c r="AC161" s="5"/>
    </row>
    <row r="162" ht="18.0" customHeight="1">
      <c r="A162" s="109"/>
      <c r="B162" s="110"/>
      <c r="C162" s="111"/>
      <c r="D162" s="112"/>
      <c r="E162" s="113"/>
      <c r="F162" s="114"/>
      <c r="G162" s="114"/>
      <c r="H162" s="113"/>
      <c r="I162" s="114"/>
      <c r="J162" s="114"/>
      <c r="K162" s="114"/>
      <c r="L162" s="110"/>
      <c r="M162" s="110"/>
      <c r="N162" s="110"/>
      <c r="O162" s="110"/>
      <c r="P162" s="110"/>
      <c r="Q162" s="110"/>
      <c r="R162" s="110"/>
      <c r="S162" s="110"/>
      <c r="T162" s="112"/>
      <c r="U162" s="5"/>
      <c r="V162" s="5"/>
      <c r="W162" s="5"/>
      <c r="X162" s="5"/>
      <c r="Y162" s="5"/>
      <c r="Z162" s="5"/>
      <c r="AA162" s="112"/>
      <c r="AB162" s="5"/>
      <c r="AC162" s="5"/>
    </row>
    <row r="163" ht="18.0" customHeight="1">
      <c r="A163" s="109"/>
      <c r="B163" s="110"/>
      <c r="C163" s="111"/>
      <c r="D163" s="112"/>
      <c r="E163" s="113"/>
      <c r="F163" s="114"/>
      <c r="G163" s="114"/>
      <c r="H163" s="113"/>
      <c r="I163" s="114"/>
      <c r="J163" s="114"/>
      <c r="K163" s="114"/>
      <c r="L163" s="110"/>
      <c r="M163" s="110"/>
      <c r="N163" s="110"/>
      <c r="O163" s="110"/>
      <c r="P163" s="110"/>
      <c r="Q163" s="110"/>
      <c r="R163" s="110"/>
      <c r="S163" s="110"/>
      <c r="T163" s="112"/>
      <c r="U163" s="5"/>
      <c r="V163" s="5"/>
      <c r="W163" s="5"/>
      <c r="X163" s="5"/>
      <c r="Y163" s="5"/>
      <c r="Z163" s="5"/>
      <c r="AA163" s="112"/>
      <c r="AB163" s="5"/>
      <c r="AC163" s="5"/>
    </row>
    <row r="164" ht="18.0" customHeight="1">
      <c r="A164" s="109"/>
      <c r="B164" s="110"/>
      <c r="C164" s="111"/>
      <c r="D164" s="112"/>
      <c r="E164" s="113"/>
      <c r="F164" s="114"/>
      <c r="G164" s="114"/>
      <c r="H164" s="113"/>
      <c r="I164" s="114"/>
      <c r="J164" s="114"/>
      <c r="K164" s="114"/>
      <c r="L164" s="110"/>
      <c r="M164" s="110"/>
      <c r="N164" s="110"/>
      <c r="O164" s="110"/>
      <c r="P164" s="110"/>
      <c r="Q164" s="110"/>
      <c r="R164" s="110"/>
      <c r="S164" s="110"/>
      <c r="T164" s="112"/>
      <c r="U164" s="5"/>
      <c r="V164" s="5"/>
      <c r="W164" s="5"/>
      <c r="X164" s="5"/>
      <c r="Y164" s="5"/>
      <c r="Z164" s="5"/>
      <c r="AA164" s="112"/>
      <c r="AB164" s="5"/>
      <c r="AC164" s="5"/>
    </row>
    <row r="165" ht="18.0" customHeight="1">
      <c r="A165" s="109"/>
      <c r="B165" s="110"/>
      <c r="C165" s="111"/>
      <c r="D165" s="112"/>
      <c r="E165" s="113"/>
      <c r="F165" s="114"/>
      <c r="G165" s="114"/>
      <c r="H165" s="113"/>
      <c r="I165" s="114"/>
      <c r="J165" s="114"/>
      <c r="K165" s="114"/>
      <c r="L165" s="110"/>
      <c r="M165" s="110"/>
      <c r="N165" s="110"/>
      <c r="O165" s="110"/>
      <c r="P165" s="110"/>
      <c r="Q165" s="110"/>
      <c r="R165" s="110"/>
      <c r="S165" s="110"/>
      <c r="T165" s="112"/>
      <c r="U165" s="5"/>
      <c r="V165" s="5"/>
      <c r="W165" s="5"/>
      <c r="X165" s="5"/>
      <c r="Y165" s="5"/>
      <c r="Z165" s="5"/>
      <c r="AA165" s="112"/>
      <c r="AB165" s="5"/>
      <c r="AC165" s="5"/>
    </row>
    <row r="166" ht="18.0" customHeight="1">
      <c r="A166" s="109"/>
      <c r="B166" s="110"/>
      <c r="C166" s="111"/>
      <c r="D166" s="112"/>
      <c r="E166" s="113"/>
      <c r="F166" s="114"/>
      <c r="G166" s="114"/>
      <c r="H166" s="113"/>
      <c r="I166" s="114"/>
      <c r="J166" s="114"/>
      <c r="K166" s="114"/>
      <c r="L166" s="110"/>
      <c r="M166" s="110"/>
      <c r="N166" s="110"/>
      <c r="O166" s="110"/>
      <c r="P166" s="110"/>
      <c r="Q166" s="110"/>
      <c r="R166" s="110"/>
      <c r="S166" s="110"/>
      <c r="T166" s="112"/>
      <c r="U166" s="5"/>
      <c r="V166" s="5"/>
      <c r="W166" s="5"/>
      <c r="X166" s="5"/>
      <c r="Y166" s="5"/>
      <c r="Z166" s="5"/>
      <c r="AA166" s="112"/>
      <c r="AB166" s="5"/>
      <c r="AC166" s="5"/>
    </row>
    <row r="167" ht="18.0" customHeight="1">
      <c r="A167" s="109"/>
      <c r="B167" s="110"/>
      <c r="C167" s="111"/>
      <c r="D167" s="112"/>
      <c r="E167" s="113"/>
      <c r="F167" s="114"/>
      <c r="G167" s="114"/>
      <c r="H167" s="113"/>
      <c r="I167" s="114"/>
      <c r="J167" s="114"/>
      <c r="K167" s="114"/>
      <c r="L167" s="110"/>
      <c r="M167" s="110"/>
      <c r="N167" s="110"/>
      <c r="O167" s="110"/>
      <c r="P167" s="110"/>
      <c r="Q167" s="110"/>
      <c r="R167" s="110"/>
      <c r="S167" s="110"/>
      <c r="T167" s="112"/>
      <c r="U167" s="5"/>
      <c r="V167" s="5"/>
      <c r="W167" s="5"/>
      <c r="X167" s="5"/>
      <c r="Y167" s="5"/>
      <c r="Z167" s="5"/>
      <c r="AA167" s="112"/>
      <c r="AB167" s="5"/>
      <c r="AC167" s="5"/>
    </row>
    <row r="168" ht="18.0" customHeight="1">
      <c r="A168" s="109"/>
      <c r="B168" s="110"/>
      <c r="C168" s="111"/>
      <c r="D168" s="112"/>
      <c r="E168" s="113"/>
      <c r="F168" s="114"/>
      <c r="G168" s="114"/>
      <c r="H168" s="113"/>
      <c r="I168" s="114"/>
      <c r="J168" s="114"/>
      <c r="K168" s="114"/>
      <c r="L168" s="110"/>
      <c r="M168" s="110"/>
      <c r="N168" s="110"/>
      <c r="O168" s="110"/>
      <c r="P168" s="110"/>
      <c r="Q168" s="110"/>
      <c r="R168" s="110"/>
      <c r="S168" s="110"/>
      <c r="T168" s="112"/>
      <c r="U168" s="5"/>
      <c r="V168" s="5"/>
      <c r="W168" s="5"/>
      <c r="X168" s="5"/>
      <c r="Y168" s="5"/>
      <c r="Z168" s="5"/>
      <c r="AA168" s="112"/>
      <c r="AB168" s="5"/>
      <c r="AC168" s="5"/>
    </row>
    <row r="169" ht="18.0" customHeight="1">
      <c r="A169" s="109"/>
      <c r="B169" s="110"/>
      <c r="C169" s="111"/>
      <c r="D169" s="112"/>
      <c r="E169" s="113"/>
      <c r="F169" s="114"/>
      <c r="G169" s="114"/>
      <c r="H169" s="113"/>
      <c r="I169" s="114"/>
      <c r="J169" s="114"/>
      <c r="K169" s="114"/>
      <c r="L169" s="110"/>
      <c r="M169" s="110"/>
      <c r="N169" s="110"/>
      <c r="O169" s="110"/>
      <c r="P169" s="110"/>
      <c r="Q169" s="110"/>
      <c r="R169" s="110"/>
      <c r="S169" s="110"/>
      <c r="T169" s="112"/>
      <c r="U169" s="5"/>
      <c r="V169" s="5"/>
      <c r="W169" s="5"/>
      <c r="X169" s="5"/>
      <c r="Y169" s="5"/>
      <c r="Z169" s="5"/>
      <c r="AA169" s="112"/>
      <c r="AB169" s="5"/>
      <c r="AC169" s="5"/>
    </row>
    <row r="170" ht="18.0" customHeight="1">
      <c r="A170" s="109"/>
      <c r="B170" s="110"/>
      <c r="C170" s="111"/>
      <c r="D170" s="112"/>
      <c r="E170" s="113"/>
      <c r="F170" s="114"/>
      <c r="G170" s="114"/>
      <c r="H170" s="113"/>
      <c r="I170" s="114"/>
      <c r="J170" s="114"/>
      <c r="K170" s="114"/>
      <c r="L170" s="110"/>
      <c r="M170" s="110"/>
      <c r="N170" s="110"/>
      <c r="O170" s="110"/>
      <c r="P170" s="110"/>
      <c r="Q170" s="110"/>
      <c r="R170" s="110"/>
      <c r="S170" s="110"/>
      <c r="T170" s="112"/>
      <c r="U170" s="5"/>
      <c r="V170" s="5"/>
      <c r="W170" s="5"/>
      <c r="X170" s="5"/>
      <c r="Y170" s="5"/>
      <c r="Z170" s="5"/>
      <c r="AA170" s="112"/>
      <c r="AB170" s="5"/>
      <c r="AC170" s="5"/>
    </row>
    <row r="171" ht="18.0" customHeight="1">
      <c r="A171" s="109"/>
      <c r="B171" s="110"/>
      <c r="C171" s="111"/>
      <c r="D171" s="112"/>
      <c r="E171" s="113"/>
      <c r="F171" s="114"/>
      <c r="G171" s="114"/>
      <c r="H171" s="113"/>
      <c r="I171" s="114"/>
      <c r="J171" s="114"/>
      <c r="K171" s="114"/>
      <c r="L171" s="110"/>
      <c r="M171" s="110"/>
      <c r="N171" s="110"/>
      <c r="O171" s="110"/>
      <c r="P171" s="110"/>
      <c r="Q171" s="110"/>
      <c r="R171" s="110"/>
      <c r="S171" s="110"/>
      <c r="T171" s="112"/>
      <c r="U171" s="5"/>
      <c r="V171" s="5"/>
      <c r="W171" s="5"/>
      <c r="X171" s="5"/>
      <c r="Y171" s="5"/>
      <c r="Z171" s="5"/>
      <c r="AA171" s="112"/>
      <c r="AB171" s="5"/>
      <c r="AC171" s="5"/>
    </row>
    <row r="172" ht="18.0" customHeight="1">
      <c r="A172" s="109"/>
      <c r="B172" s="110"/>
      <c r="C172" s="111"/>
      <c r="D172" s="112"/>
      <c r="E172" s="113"/>
      <c r="F172" s="114"/>
      <c r="G172" s="114"/>
      <c r="H172" s="113"/>
      <c r="I172" s="114"/>
      <c r="J172" s="114"/>
      <c r="K172" s="114"/>
      <c r="L172" s="110"/>
      <c r="M172" s="110"/>
      <c r="N172" s="110"/>
      <c r="O172" s="110"/>
      <c r="P172" s="110"/>
      <c r="Q172" s="110"/>
      <c r="R172" s="110"/>
      <c r="S172" s="110"/>
      <c r="T172" s="112"/>
      <c r="U172" s="5"/>
      <c r="V172" s="5"/>
      <c r="W172" s="5"/>
      <c r="X172" s="5"/>
      <c r="Y172" s="5"/>
      <c r="Z172" s="5"/>
      <c r="AA172" s="112"/>
      <c r="AB172" s="5"/>
      <c r="AC172" s="5"/>
    </row>
    <row r="173" ht="18.0" customHeight="1">
      <c r="A173" s="109"/>
      <c r="B173" s="110"/>
      <c r="C173" s="111"/>
      <c r="D173" s="112"/>
      <c r="E173" s="113"/>
      <c r="F173" s="114"/>
      <c r="G173" s="114"/>
      <c r="H173" s="113"/>
      <c r="I173" s="114"/>
      <c r="J173" s="114"/>
      <c r="K173" s="114"/>
      <c r="L173" s="110"/>
      <c r="M173" s="110"/>
      <c r="N173" s="110"/>
      <c r="O173" s="110"/>
      <c r="P173" s="110"/>
      <c r="Q173" s="110"/>
      <c r="R173" s="110"/>
      <c r="S173" s="110"/>
      <c r="T173" s="112"/>
      <c r="U173" s="5"/>
      <c r="V173" s="5"/>
      <c r="W173" s="5"/>
      <c r="X173" s="5"/>
      <c r="Y173" s="5"/>
      <c r="Z173" s="5"/>
      <c r="AA173" s="112"/>
      <c r="AB173" s="5"/>
      <c r="AC173" s="5"/>
    </row>
    <row r="174" ht="18.0" customHeight="1">
      <c r="A174" s="109"/>
      <c r="B174" s="110"/>
      <c r="C174" s="111"/>
      <c r="D174" s="112"/>
      <c r="E174" s="113"/>
      <c r="F174" s="114"/>
      <c r="G174" s="114"/>
      <c r="H174" s="113"/>
      <c r="I174" s="114"/>
      <c r="J174" s="114"/>
      <c r="K174" s="114"/>
      <c r="L174" s="110"/>
      <c r="M174" s="110"/>
      <c r="N174" s="110"/>
      <c r="O174" s="110"/>
      <c r="P174" s="110"/>
      <c r="Q174" s="110"/>
      <c r="R174" s="110"/>
      <c r="S174" s="110"/>
      <c r="T174" s="112"/>
      <c r="U174" s="5"/>
      <c r="V174" s="5"/>
      <c r="W174" s="5"/>
      <c r="X174" s="5"/>
      <c r="Y174" s="5"/>
      <c r="Z174" s="5"/>
      <c r="AA174" s="112"/>
      <c r="AB174" s="5"/>
      <c r="AC174" s="5"/>
    </row>
    <row r="175" ht="18.0" customHeight="1">
      <c r="A175" s="109"/>
      <c r="B175" s="110"/>
      <c r="C175" s="111"/>
      <c r="D175" s="112"/>
      <c r="E175" s="113"/>
      <c r="F175" s="114"/>
      <c r="G175" s="114"/>
      <c r="H175" s="113"/>
      <c r="I175" s="114"/>
      <c r="J175" s="114"/>
      <c r="K175" s="114"/>
      <c r="L175" s="110"/>
      <c r="M175" s="110"/>
      <c r="N175" s="110"/>
      <c r="O175" s="110"/>
      <c r="P175" s="110"/>
      <c r="Q175" s="110"/>
      <c r="R175" s="110"/>
      <c r="S175" s="110"/>
      <c r="T175" s="112"/>
      <c r="U175" s="5"/>
      <c r="V175" s="5"/>
      <c r="W175" s="5"/>
      <c r="X175" s="5"/>
      <c r="Y175" s="5"/>
      <c r="Z175" s="5"/>
      <c r="AA175" s="112"/>
      <c r="AB175" s="5"/>
      <c r="AC175" s="5"/>
    </row>
    <row r="176" ht="18.0" customHeight="1">
      <c r="A176" s="109"/>
      <c r="B176" s="110"/>
      <c r="C176" s="111"/>
      <c r="D176" s="112"/>
      <c r="E176" s="113"/>
      <c r="F176" s="114"/>
      <c r="G176" s="114"/>
      <c r="H176" s="113"/>
      <c r="I176" s="114"/>
      <c r="J176" s="114"/>
      <c r="K176" s="114"/>
      <c r="L176" s="110"/>
      <c r="M176" s="110"/>
      <c r="N176" s="110"/>
      <c r="O176" s="110"/>
      <c r="P176" s="110"/>
      <c r="Q176" s="110"/>
      <c r="R176" s="110"/>
      <c r="S176" s="110"/>
      <c r="T176" s="112"/>
      <c r="U176" s="5"/>
      <c r="V176" s="5"/>
      <c r="W176" s="5"/>
      <c r="X176" s="5"/>
      <c r="Y176" s="5"/>
      <c r="Z176" s="5"/>
      <c r="AA176" s="112"/>
      <c r="AB176" s="5"/>
      <c r="AC176" s="5"/>
    </row>
    <row r="177" ht="18.0" customHeight="1">
      <c r="A177" s="109"/>
      <c r="B177" s="110"/>
      <c r="C177" s="111"/>
      <c r="D177" s="112"/>
      <c r="E177" s="113"/>
      <c r="F177" s="114"/>
      <c r="G177" s="114"/>
      <c r="H177" s="113"/>
      <c r="I177" s="114"/>
      <c r="J177" s="114"/>
      <c r="K177" s="114"/>
      <c r="L177" s="110"/>
      <c r="M177" s="110"/>
      <c r="N177" s="110"/>
      <c r="O177" s="110"/>
      <c r="P177" s="110"/>
      <c r="Q177" s="110"/>
      <c r="R177" s="110"/>
      <c r="S177" s="110"/>
      <c r="T177" s="112"/>
      <c r="U177" s="5"/>
      <c r="V177" s="5"/>
      <c r="W177" s="5"/>
      <c r="X177" s="5"/>
      <c r="Y177" s="5"/>
      <c r="Z177" s="5"/>
      <c r="AA177" s="112"/>
      <c r="AB177" s="5"/>
      <c r="AC177" s="5"/>
    </row>
    <row r="178" ht="18.0" customHeight="1">
      <c r="A178" s="109"/>
      <c r="B178" s="110"/>
      <c r="C178" s="111"/>
      <c r="D178" s="112"/>
      <c r="E178" s="113"/>
      <c r="F178" s="114"/>
      <c r="G178" s="114"/>
      <c r="H178" s="113"/>
      <c r="I178" s="114"/>
      <c r="J178" s="114"/>
      <c r="K178" s="114"/>
      <c r="L178" s="110"/>
      <c r="M178" s="110"/>
      <c r="N178" s="110"/>
      <c r="O178" s="110"/>
      <c r="P178" s="110"/>
      <c r="Q178" s="110"/>
      <c r="R178" s="110"/>
      <c r="S178" s="110"/>
      <c r="T178" s="112"/>
      <c r="U178" s="5"/>
      <c r="V178" s="5"/>
      <c r="W178" s="5"/>
      <c r="X178" s="5"/>
      <c r="Y178" s="5"/>
      <c r="Z178" s="5"/>
      <c r="AA178" s="112"/>
      <c r="AB178" s="5"/>
      <c r="AC178" s="5"/>
    </row>
    <row r="179" ht="18.0" customHeight="1">
      <c r="A179" s="109"/>
      <c r="B179" s="110"/>
      <c r="C179" s="111"/>
      <c r="D179" s="112"/>
      <c r="E179" s="113"/>
      <c r="F179" s="114"/>
      <c r="G179" s="114"/>
      <c r="H179" s="113"/>
      <c r="I179" s="114"/>
      <c r="J179" s="114"/>
      <c r="K179" s="114"/>
      <c r="L179" s="110"/>
      <c r="M179" s="110"/>
      <c r="N179" s="110"/>
      <c r="O179" s="110"/>
      <c r="P179" s="110"/>
      <c r="Q179" s="110"/>
      <c r="R179" s="110"/>
      <c r="S179" s="110"/>
      <c r="T179" s="112"/>
      <c r="U179" s="5"/>
      <c r="V179" s="5"/>
      <c r="W179" s="5"/>
      <c r="X179" s="5"/>
      <c r="Y179" s="5"/>
      <c r="Z179" s="5"/>
      <c r="AA179" s="112"/>
      <c r="AB179" s="5"/>
      <c r="AC179" s="5"/>
    </row>
    <row r="180" ht="18.0" customHeight="1">
      <c r="A180" s="109"/>
      <c r="B180" s="110"/>
      <c r="C180" s="111"/>
      <c r="D180" s="112"/>
      <c r="E180" s="113"/>
      <c r="F180" s="114"/>
      <c r="G180" s="114"/>
      <c r="H180" s="113"/>
      <c r="I180" s="114"/>
      <c r="J180" s="114"/>
      <c r="K180" s="114"/>
      <c r="L180" s="110"/>
      <c r="M180" s="110"/>
      <c r="N180" s="110"/>
      <c r="O180" s="110"/>
      <c r="P180" s="110"/>
      <c r="Q180" s="110"/>
      <c r="R180" s="110"/>
      <c r="S180" s="110"/>
      <c r="T180" s="112"/>
      <c r="U180" s="5"/>
      <c r="V180" s="5"/>
      <c r="W180" s="5"/>
      <c r="X180" s="5"/>
      <c r="Y180" s="5"/>
      <c r="Z180" s="5"/>
      <c r="AA180" s="112"/>
      <c r="AB180" s="5"/>
      <c r="AC180" s="5"/>
    </row>
    <row r="181" ht="18.0" customHeight="1">
      <c r="A181" s="109"/>
      <c r="B181" s="110"/>
      <c r="C181" s="111"/>
      <c r="D181" s="112"/>
      <c r="E181" s="113"/>
      <c r="F181" s="114"/>
      <c r="G181" s="114"/>
      <c r="H181" s="113"/>
      <c r="I181" s="114"/>
      <c r="J181" s="114"/>
      <c r="K181" s="114"/>
      <c r="L181" s="110"/>
      <c r="M181" s="110"/>
      <c r="N181" s="110"/>
      <c r="O181" s="110"/>
      <c r="P181" s="110"/>
      <c r="Q181" s="110"/>
      <c r="R181" s="110"/>
      <c r="S181" s="110"/>
      <c r="T181" s="112"/>
      <c r="U181" s="5"/>
      <c r="V181" s="5"/>
      <c r="W181" s="5"/>
      <c r="X181" s="5"/>
      <c r="Y181" s="5"/>
      <c r="Z181" s="5"/>
      <c r="AA181" s="112"/>
      <c r="AB181" s="5"/>
      <c r="AC181" s="5"/>
    </row>
    <row r="182" ht="18.0" customHeight="1">
      <c r="A182" s="109"/>
      <c r="B182" s="110"/>
      <c r="C182" s="111"/>
      <c r="D182" s="112"/>
      <c r="E182" s="113"/>
      <c r="F182" s="114"/>
      <c r="G182" s="114"/>
      <c r="H182" s="113"/>
      <c r="I182" s="114"/>
      <c r="J182" s="114"/>
      <c r="K182" s="114"/>
      <c r="L182" s="110"/>
      <c r="M182" s="110"/>
      <c r="N182" s="110"/>
      <c r="O182" s="110"/>
      <c r="P182" s="110"/>
      <c r="Q182" s="110"/>
      <c r="R182" s="110"/>
      <c r="S182" s="110"/>
      <c r="T182" s="112"/>
      <c r="U182" s="5"/>
      <c r="V182" s="5"/>
      <c r="W182" s="5"/>
      <c r="X182" s="5"/>
      <c r="Y182" s="5"/>
      <c r="Z182" s="5"/>
      <c r="AA182" s="112"/>
      <c r="AB182" s="5"/>
      <c r="AC182" s="5"/>
    </row>
    <row r="183" ht="18.0" customHeight="1">
      <c r="A183" s="109"/>
      <c r="B183" s="110"/>
      <c r="C183" s="111"/>
      <c r="D183" s="112"/>
      <c r="E183" s="113"/>
      <c r="F183" s="114"/>
      <c r="G183" s="114"/>
      <c r="H183" s="113"/>
      <c r="I183" s="114"/>
      <c r="J183" s="114"/>
      <c r="K183" s="114"/>
      <c r="L183" s="110"/>
      <c r="M183" s="110"/>
      <c r="N183" s="110"/>
      <c r="O183" s="110"/>
      <c r="P183" s="110"/>
      <c r="Q183" s="110"/>
      <c r="R183" s="110"/>
      <c r="S183" s="110"/>
      <c r="T183" s="112"/>
      <c r="U183" s="5"/>
      <c r="V183" s="5"/>
      <c r="W183" s="5"/>
      <c r="X183" s="5"/>
      <c r="Y183" s="5"/>
      <c r="Z183" s="5"/>
      <c r="AA183" s="112"/>
      <c r="AB183" s="5"/>
      <c r="AC183" s="5"/>
    </row>
    <row r="184" ht="18.0" customHeight="1">
      <c r="A184" s="109"/>
      <c r="B184" s="110"/>
      <c r="C184" s="111"/>
      <c r="D184" s="112"/>
      <c r="E184" s="113"/>
      <c r="F184" s="114"/>
      <c r="G184" s="114"/>
      <c r="H184" s="113"/>
      <c r="I184" s="114"/>
      <c r="J184" s="114"/>
      <c r="K184" s="114"/>
      <c r="L184" s="110"/>
      <c r="M184" s="110"/>
      <c r="N184" s="110"/>
      <c r="O184" s="110"/>
      <c r="P184" s="110"/>
      <c r="Q184" s="110"/>
      <c r="R184" s="110"/>
      <c r="S184" s="110"/>
      <c r="T184" s="112"/>
      <c r="U184" s="5"/>
      <c r="V184" s="5"/>
      <c r="W184" s="5"/>
      <c r="X184" s="5"/>
      <c r="Y184" s="5"/>
      <c r="Z184" s="5"/>
      <c r="AA184" s="112"/>
      <c r="AB184" s="5"/>
      <c r="AC184" s="5"/>
    </row>
    <row r="185" ht="18.0" customHeight="1">
      <c r="A185" s="109"/>
      <c r="B185" s="110"/>
      <c r="C185" s="111"/>
      <c r="D185" s="112"/>
      <c r="E185" s="113"/>
      <c r="F185" s="114"/>
      <c r="G185" s="114"/>
      <c r="H185" s="113"/>
      <c r="I185" s="114"/>
      <c r="J185" s="114"/>
      <c r="K185" s="114"/>
      <c r="L185" s="110"/>
      <c r="M185" s="110"/>
      <c r="N185" s="110"/>
      <c r="O185" s="110"/>
      <c r="P185" s="110"/>
      <c r="Q185" s="110"/>
      <c r="R185" s="110"/>
      <c r="S185" s="110"/>
      <c r="T185" s="112"/>
      <c r="U185" s="5"/>
      <c r="V185" s="5"/>
      <c r="W185" s="5"/>
      <c r="X185" s="5"/>
      <c r="Y185" s="5"/>
      <c r="Z185" s="5"/>
      <c r="AA185" s="112"/>
      <c r="AB185" s="5"/>
      <c r="AC185" s="5"/>
    </row>
    <row r="186" ht="18.0" customHeight="1">
      <c r="A186" s="109"/>
      <c r="B186" s="110"/>
      <c r="C186" s="111"/>
      <c r="D186" s="112"/>
      <c r="E186" s="113"/>
      <c r="F186" s="114"/>
      <c r="G186" s="114"/>
      <c r="H186" s="113"/>
      <c r="I186" s="114"/>
      <c r="J186" s="114"/>
      <c r="K186" s="114"/>
      <c r="L186" s="110"/>
      <c r="M186" s="110"/>
      <c r="N186" s="110"/>
      <c r="O186" s="110"/>
      <c r="P186" s="110"/>
      <c r="Q186" s="110"/>
      <c r="R186" s="110"/>
      <c r="S186" s="110"/>
      <c r="T186" s="112"/>
      <c r="U186" s="5"/>
      <c r="V186" s="5"/>
      <c r="W186" s="5"/>
      <c r="X186" s="5"/>
      <c r="Y186" s="5"/>
      <c r="Z186" s="5"/>
      <c r="AA186" s="112"/>
      <c r="AB186" s="5"/>
      <c r="AC186" s="5"/>
    </row>
    <row r="187" ht="18.0" customHeight="1">
      <c r="A187" s="109"/>
      <c r="B187" s="110"/>
      <c r="C187" s="111"/>
      <c r="D187" s="112"/>
      <c r="E187" s="113"/>
      <c r="F187" s="114"/>
      <c r="G187" s="114"/>
      <c r="H187" s="113"/>
      <c r="I187" s="114"/>
      <c r="J187" s="114"/>
      <c r="K187" s="114"/>
      <c r="L187" s="110"/>
      <c r="M187" s="110"/>
      <c r="N187" s="110"/>
      <c r="O187" s="110"/>
      <c r="P187" s="110"/>
      <c r="Q187" s="110"/>
      <c r="R187" s="110"/>
      <c r="S187" s="110"/>
      <c r="T187" s="112"/>
      <c r="U187" s="5"/>
      <c r="V187" s="5"/>
      <c r="W187" s="5"/>
      <c r="X187" s="5"/>
      <c r="Y187" s="5"/>
      <c r="Z187" s="5"/>
      <c r="AA187" s="112"/>
      <c r="AB187" s="5"/>
      <c r="AC187" s="5"/>
    </row>
    <row r="188" ht="18.0" customHeight="1">
      <c r="A188" s="109"/>
      <c r="B188" s="110"/>
      <c r="C188" s="111"/>
      <c r="D188" s="112"/>
      <c r="E188" s="113"/>
      <c r="F188" s="114"/>
      <c r="G188" s="114"/>
      <c r="H188" s="113"/>
      <c r="I188" s="114"/>
      <c r="J188" s="114"/>
      <c r="K188" s="114"/>
      <c r="L188" s="110"/>
      <c r="M188" s="110"/>
      <c r="N188" s="110"/>
      <c r="O188" s="110"/>
      <c r="P188" s="110"/>
      <c r="Q188" s="110"/>
      <c r="R188" s="110"/>
      <c r="S188" s="110"/>
      <c r="T188" s="112"/>
      <c r="U188" s="5"/>
      <c r="V188" s="5"/>
      <c r="W188" s="5"/>
      <c r="X188" s="5"/>
      <c r="Y188" s="5"/>
      <c r="Z188" s="5"/>
      <c r="AA188" s="112"/>
      <c r="AB188" s="5"/>
      <c r="AC188" s="5"/>
    </row>
    <row r="189" ht="18.0" customHeight="1">
      <c r="A189" s="109"/>
      <c r="B189" s="110"/>
      <c r="C189" s="111"/>
      <c r="D189" s="112"/>
      <c r="E189" s="113"/>
      <c r="F189" s="114"/>
      <c r="G189" s="114"/>
      <c r="H189" s="113"/>
      <c r="I189" s="114"/>
      <c r="J189" s="114"/>
      <c r="K189" s="114"/>
      <c r="L189" s="110"/>
      <c r="M189" s="110"/>
      <c r="N189" s="110"/>
      <c r="O189" s="110"/>
      <c r="P189" s="110"/>
      <c r="Q189" s="110"/>
      <c r="R189" s="110"/>
      <c r="S189" s="110"/>
      <c r="T189" s="112"/>
      <c r="U189" s="5"/>
      <c r="V189" s="5"/>
      <c r="W189" s="5"/>
      <c r="X189" s="5"/>
      <c r="Y189" s="5"/>
      <c r="Z189" s="5"/>
      <c r="AA189" s="112"/>
      <c r="AB189" s="5"/>
      <c r="AC189" s="5"/>
    </row>
    <row r="190" ht="18.0" customHeight="1">
      <c r="A190" s="109"/>
      <c r="B190" s="110"/>
      <c r="C190" s="111"/>
      <c r="D190" s="112"/>
      <c r="E190" s="113"/>
      <c r="F190" s="114"/>
      <c r="G190" s="114"/>
      <c r="H190" s="113"/>
      <c r="I190" s="114"/>
      <c r="J190" s="114"/>
      <c r="K190" s="114"/>
      <c r="L190" s="110"/>
      <c r="M190" s="110"/>
      <c r="N190" s="110"/>
      <c r="O190" s="110"/>
      <c r="P190" s="110"/>
      <c r="Q190" s="110"/>
      <c r="R190" s="110"/>
      <c r="S190" s="110"/>
      <c r="T190" s="112"/>
      <c r="U190" s="5"/>
      <c r="V190" s="5"/>
      <c r="W190" s="5"/>
      <c r="X190" s="5"/>
      <c r="Y190" s="5"/>
      <c r="Z190" s="5"/>
      <c r="AA190" s="112"/>
      <c r="AB190" s="5"/>
      <c r="AC190" s="5"/>
    </row>
    <row r="191" ht="18.0" customHeight="1">
      <c r="A191" s="109"/>
      <c r="B191" s="110"/>
      <c r="C191" s="111"/>
      <c r="D191" s="112"/>
      <c r="E191" s="113"/>
      <c r="F191" s="114"/>
      <c r="G191" s="114"/>
      <c r="H191" s="113"/>
      <c r="I191" s="114"/>
      <c r="J191" s="114"/>
      <c r="K191" s="114"/>
      <c r="L191" s="110"/>
      <c r="M191" s="110"/>
      <c r="N191" s="110"/>
      <c r="O191" s="110"/>
      <c r="P191" s="110"/>
      <c r="Q191" s="110"/>
      <c r="R191" s="110"/>
      <c r="S191" s="110"/>
      <c r="T191" s="112"/>
      <c r="U191" s="5"/>
      <c r="V191" s="5"/>
      <c r="W191" s="5"/>
      <c r="X191" s="5"/>
      <c r="Y191" s="5"/>
      <c r="Z191" s="5"/>
      <c r="AA191" s="112"/>
      <c r="AB191" s="5"/>
      <c r="AC191" s="5"/>
    </row>
    <row r="192" ht="18.0" customHeight="1">
      <c r="A192" s="109"/>
      <c r="B192" s="110"/>
      <c r="C192" s="111"/>
      <c r="D192" s="112"/>
      <c r="E192" s="113"/>
      <c r="F192" s="114"/>
      <c r="G192" s="114"/>
      <c r="H192" s="113"/>
      <c r="I192" s="114"/>
      <c r="J192" s="114"/>
      <c r="K192" s="114"/>
      <c r="L192" s="110"/>
      <c r="M192" s="110"/>
      <c r="N192" s="110"/>
      <c r="O192" s="110"/>
      <c r="P192" s="110"/>
      <c r="Q192" s="110"/>
      <c r="R192" s="110"/>
      <c r="S192" s="110"/>
      <c r="T192" s="112"/>
      <c r="U192" s="5"/>
      <c r="V192" s="5"/>
      <c r="W192" s="5"/>
      <c r="X192" s="5"/>
      <c r="Y192" s="5"/>
      <c r="Z192" s="5"/>
      <c r="AA192" s="112"/>
      <c r="AB192" s="5"/>
      <c r="AC192" s="5"/>
    </row>
    <row r="193" ht="18.0" customHeight="1">
      <c r="A193" s="109"/>
      <c r="B193" s="110"/>
      <c r="C193" s="111"/>
      <c r="D193" s="112"/>
      <c r="E193" s="113"/>
      <c r="F193" s="114"/>
      <c r="G193" s="114"/>
      <c r="H193" s="113"/>
      <c r="I193" s="114"/>
      <c r="J193" s="114"/>
      <c r="K193" s="114"/>
      <c r="L193" s="110"/>
      <c r="M193" s="110"/>
      <c r="N193" s="110"/>
      <c r="O193" s="110"/>
      <c r="P193" s="110"/>
      <c r="Q193" s="110"/>
      <c r="R193" s="110"/>
      <c r="S193" s="110"/>
      <c r="T193" s="112"/>
      <c r="U193" s="5"/>
      <c r="V193" s="5"/>
      <c r="W193" s="5"/>
      <c r="X193" s="5"/>
      <c r="Y193" s="5"/>
      <c r="Z193" s="5"/>
      <c r="AA193" s="112"/>
      <c r="AB193" s="5"/>
      <c r="AC193" s="5"/>
    </row>
    <row r="194" ht="18.0" customHeight="1">
      <c r="A194" s="109"/>
      <c r="B194" s="110"/>
      <c r="C194" s="111"/>
      <c r="D194" s="112"/>
      <c r="E194" s="113"/>
      <c r="F194" s="114"/>
      <c r="G194" s="114"/>
      <c r="H194" s="113"/>
      <c r="I194" s="114"/>
      <c r="J194" s="114"/>
      <c r="K194" s="114"/>
      <c r="L194" s="110"/>
      <c r="M194" s="110"/>
      <c r="N194" s="110"/>
      <c r="O194" s="110"/>
      <c r="P194" s="110"/>
      <c r="Q194" s="110"/>
      <c r="R194" s="110"/>
      <c r="S194" s="110"/>
      <c r="T194" s="112"/>
      <c r="U194" s="5"/>
      <c r="V194" s="5"/>
      <c r="W194" s="5"/>
      <c r="X194" s="5"/>
      <c r="Y194" s="5"/>
      <c r="Z194" s="5"/>
      <c r="AA194" s="112"/>
      <c r="AB194" s="5"/>
      <c r="AC194" s="5"/>
    </row>
    <row r="195" ht="18.0" customHeight="1">
      <c r="A195" s="109"/>
      <c r="B195" s="110"/>
      <c r="C195" s="111"/>
      <c r="D195" s="112"/>
      <c r="E195" s="113"/>
      <c r="F195" s="114"/>
      <c r="G195" s="114"/>
      <c r="H195" s="113"/>
      <c r="I195" s="114"/>
      <c r="J195" s="114"/>
      <c r="K195" s="114"/>
      <c r="L195" s="110"/>
      <c r="M195" s="110"/>
      <c r="N195" s="110"/>
      <c r="O195" s="110"/>
      <c r="P195" s="110"/>
      <c r="Q195" s="110"/>
      <c r="R195" s="110"/>
      <c r="S195" s="110"/>
      <c r="T195" s="112"/>
      <c r="U195" s="5"/>
      <c r="V195" s="5"/>
      <c r="W195" s="5"/>
      <c r="X195" s="5"/>
      <c r="Y195" s="5"/>
      <c r="Z195" s="5"/>
      <c r="AA195" s="112"/>
      <c r="AB195" s="5"/>
      <c r="AC195" s="5"/>
    </row>
    <row r="196" ht="18.0" customHeight="1">
      <c r="A196" s="109"/>
      <c r="B196" s="110"/>
      <c r="C196" s="111"/>
      <c r="D196" s="112"/>
      <c r="E196" s="113"/>
      <c r="F196" s="114"/>
      <c r="G196" s="114"/>
      <c r="H196" s="113"/>
      <c r="I196" s="114"/>
      <c r="J196" s="114"/>
      <c r="K196" s="114"/>
      <c r="L196" s="110"/>
      <c r="M196" s="110"/>
      <c r="N196" s="110"/>
      <c r="O196" s="110"/>
      <c r="P196" s="110"/>
      <c r="Q196" s="110"/>
      <c r="R196" s="110"/>
      <c r="S196" s="110"/>
      <c r="T196" s="112"/>
      <c r="U196" s="5"/>
      <c r="V196" s="5"/>
      <c r="W196" s="5"/>
      <c r="X196" s="5"/>
      <c r="Y196" s="5"/>
      <c r="Z196" s="5"/>
      <c r="AA196" s="112"/>
      <c r="AB196" s="5"/>
      <c r="AC196" s="5"/>
    </row>
    <row r="197" ht="18.0" customHeight="1">
      <c r="A197" s="109"/>
      <c r="B197" s="110"/>
      <c r="C197" s="111"/>
      <c r="D197" s="112"/>
      <c r="E197" s="113"/>
      <c r="F197" s="114"/>
      <c r="G197" s="114"/>
      <c r="H197" s="113"/>
      <c r="I197" s="114"/>
      <c r="J197" s="114"/>
      <c r="K197" s="114"/>
      <c r="L197" s="110"/>
      <c r="M197" s="110"/>
      <c r="N197" s="110"/>
      <c r="O197" s="110"/>
      <c r="P197" s="110"/>
      <c r="Q197" s="110"/>
      <c r="R197" s="110"/>
      <c r="S197" s="110"/>
      <c r="T197" s="112"/>
      <c r="U197" s="5"/>
      <c r="V197" s="5"/>
      <c r="W197" s="5"/>
      <c r="X197" s="5"/>
      <c r="Y197" s="5"/>
      <c r="Z197" s="5"/>
      <c r="AA197" s="112"/>
      <c r="AB197" s="5"/>
      <c r="AC197" s="5"/>
    </row>
    <row r="198" ht="18.0" customHeight="1">
      <c r="A198" s="109"/>
      <c r="B198" s="110"/>
      <c r="C198" s="111"/>
      <c r="D198" s="112"/>
      <c r="E198" s="113"/>
      <c r="F198" s="114"/>
      <c r="G198" s="114"/>
      <c r="H198" s="113"/>
      <c r="I198" s="114"/>
      <c r="J198" s="114"/>
      <c r="K198" s="114"/>
      <c r="L198" s="110"/>
      <c r="M198" s="110"/>
      <c r="N198" s="110"/>
      <c r="O198" s="110"/>
      <c r="P198" s="110"/>
      <c r="Q198" s="110"/>
      <c r="R198" s="110"/>
      <c r="S198" s="110"/>
      <c r="T198" s="112"/>
      <c r="U198" s="5"/>
      <c r="V198" s="5"/>
      <c r="W198" s="5"/>
      <c r="X198" s="5"/>
      <c r="Y198" s="5"/>
      <c r="Z198" s="5"/>
      <c r="AA198" s="112"/>
      <c r="AB198" s="5"/>
      <c r="AC198" s="5"/>
    </row>
    <row r="199" ht="18.0" customHeight="1">
      <c r="A199" s="109"/>
      <c r="B199" s="110"/>
      <c r="C199" s="111"/>
      <c r="D199" s="112"/>
      <c r="E199" s="113"/>
      <c r="F199" s="114"/>
      <c r="G199" s="114"/>
      <c r="H199" s="113"/>
      <c r="I199" s="114"/>
      <c r="J199" s="114"/>
      <c r="K199" s="114"/>
      <c r="L199" s="110"/>
      <c r="M199" s="110"/>
      <c r="N199" s="110"/>
      <c r="O199" s="110"/>
      <c r="P199" s="110"/>
      <c r="Q199" s="110"/>
      <c r="R199" s="110"/>
      <c r="S199" s="110"/>
      <c r="T199" s="112"/>
      <c r="U199" s="5"/>
      <c r="V199" s="5"/>
      <c r="W199" s="5"/>
      <c r="X199" s="5"/>
      <c r="Y199" s="5"/>
      <c r="Z199" s="5"/>
      <c r="AA199" s="112"/>
      <c r="AB199" s="5"/>
      <c r="AC199" s="5"/>
    </row>
    <row r="200" ht="18.0" customHeight="1">
      <c r="A200" s="109"/>
      <c r="B200" s="110"/>
      <c r="C200" s="111"/>
      <c r="D200" s="112"/>
      <c r="E200" s="113"/>
      <c r="F200" s="114"/>
      <c r="G200" s="114"/>
      <c r="H200" s="113"/>
      <c r="I200" s="114"/>
      <c r="J200" s="114"/>
      <c r="K200" s="114"/>
      <c r="L200" s="110"/>
      <c r="M200" s="110"/>
      <c r="N200" s="110"/>
      <c r="O200" s="110"/>
      <c r="P200" s="110"/>
      <c r="Q200" s="110"/>
      <c r="R200" s="110"/>
      <c r="S200" s="110"/>
      <c r="T200" s="112"/>
      <c r="U200" s="5"/>
      <c r="V200" s="5"/>
      <c r="W200" s="5"/>
      <c r="X200" s="5"/>
      <c r="Y200" s="5"/>
      <c r="Z200" s="5"/>
      <c r="AA200" s="112"/>
      <c r="AB200" s="5"/>
      <c r="AC200" s="5"/>
    </row>
    <row r="201" ht="18.0" customHeight="1">
      <c r="A201" s="109"/>
      <c r="B201" s="110"/>
      <c r="C201" s="111"/>
      <c r="D201" s="112"/>
      <c r="E201" s="113"/>
      <c r="F201" s="114"/>
      <c r="G201" s="114"/>
      <c r="H201" s="113"/>
      <c r="I201" s="114"/>
      <c r="J201" s="114"/>
      <c r="K201" s="114"/>
      <c r="L201" s="110"/>
      <c r="M201" s="110"/>
      <c r="N201" s="110"/>
      <c r="O201" s="110"/>
      <c r="P201" s="110"/>
      <c r="Q201" s="110"/>
      <c r="R201" s="110"/>
      <c r="S201" s="110"/>
      <c r="T201" s="112"/>
      <c r="U201" s="5"/>
      <c r="V201" s="5"/>
      <c r="W201" s="5"/>
      <c r="X201" s="5"/>
      <c r="Y201" s="5"/>
      <c r="Z201" s="5"/>
      <c r="AA201" s="112"/>
      <c r="AB201" s="5"/>
      <c r="AC201" s="5"/>
    </row>
    <row r="202" ht="18.0" customHeight="1">
      <c r="A202" s="109"/>
      <c r="B202" s="110"/>
      <c r="C202" s="111"/>
      <c r="D202" s="112"/>
      <c r="E202" s="113"/>
      <c r="F202" s="114"/>
      <c r="G202" s="114"/>
      <c r="H202" s="113"/>
      <c r="I202" s="114"/>
      <c r="J202" s="114"/>
      <c r="K202" s="114"/>
      <c r="L202" s="110"/>
      <c r="M202" s="110"/>
      <c r="N202" s="110"/>
      <c r="O202" s="110"/>
      <c r="P202" s="110"/>
      <c r="Q202" s="110"/>
      <c r="R202" s="110"/>
      <c r="S202" s="110"/>
      <c r="T202" s="112"/>
      <c r="U202" s="5"/>
      <c r="V202" s="5"/>
      <c r="W202" s="5"/>
      <c r="X202" s="5"/>
      <c r="Y202" s="5"/>
      <c r="Z202" s="5"/>
      <c r="AA202" s="112"/>
      <c r="AB202" s="5"/>
      <c r="AC202" s="5"/>
    </row>
    <row r="203" ht="18.0" customHeight="1">
      <c r="A203" s="109"/>
      <c r="B203" s="110"/>
      <c r="C203" s="111"/>
      <c r="D203" s="112"/>
      <c r="E203" s="113"/>
      <c r="F203" s="114"/>
      <c r="G203" s="114"/>
      <c r="H203" s="113"/>
      <c r="I203" s="114"/>
      <c r="J203" s="114"/>
      <c r="K203" s="114"/>
      <c r="L203" s="110"/>
      <c r="M203" s="110"/>
      <c r="N203" s="110"/>
      <c r="O203" s="110"/>
      <c r="P203" s="110"/>
      <c r="Q203" s="110"/>
      <c r="R203" s="110"/>
      <c r="S203" s="110"/>
      <c r="T203" s="112"/>
      <c r="U203" s="5"/>
      <c r="V203" s="5"/>
      <c r="W203" s="5"/>
      <c r="X203" s="5"/>
      <c r="Y203" s="5"/>
      <c r="Z203" s="5"/>
      <c r="AA203" s="112"/>
      <c r="AB203" s="5"/>
      <c r="AC203" s="5"/>
    </row>
    <row r="204" ht="18.0" customHeight="1">
      <c r="A204" s="109"/>
      <c r="B204" s="110"/>
      <c r="C204" s="111"/>
      <c r="D204" s="112"/>
      <c r="E204" s="113"/>
      <c r="F204" s="114"/>
      <c r="G204" s="114"/>
      <c r="H204" s="113"/>
      <c r="I204" s="114"/>
      <c r="J204" s="114"/>
      <c r="K204" s="114"/>
      <c r="L204" s="110"/>
      <c r="M204" s="110"/>
      <c r="N204" s="110"/>
      <c r="O204" s="110"/>
      <c r="P204" s="110"/>
      <c r="Q204" s="110"/>
      <c r="R204" s="110"/>
      <c r="S204" s="110"/>
      <c r="T204" s="112"/>
      <c r="U204" s="5"/>
      <c r="V204" s="5"/>
      <c r="W204" s="5"/>
      <c r="X204" s="5"/>
      <c r="Y204" s="5"/>
      <c r="Z204" s="5"/>
      <c r="AA204" s="112"/>
      <c r="AB204" s="5"/>
      <c r="AC204" s="5"/>
    </row>
    <row r="205" ht="18.0" customHeight="1">
      <c r="A205" s="109"/>
      <c r="B205" s="110"/>
      <c r="C205" s="111"/>
      <c r="D205" s="112"/>
      <c r="E205" s="113"/>
      <c r="F205" s="114"/>
      <c r="G205" s="114"/>
      <c r="H205" s="113"/>
      <c r="I205" s="114"/>
      <c r="J205" s="114"/>
      <c r="K205" s="114"/>
      <c r="L205" s="110"/>
      <c r="M205" s="110"/>
      <c r="N205" s="110"/>
      <c r="O205" s="110"/>
      <c r="P205" s="110"/>
      <c r="Q205" s="110"/>
      <c r="R205" s="110"/>
      <c r="S205" s="110"/>
      <c r="T205" s="112"/>
      <c r="U205" s="5"/>
      <c r="V205" s="5"/>
      <c r="W205" s="5"/>
      <c r="X205" s="5"/>
      <c r="Y205" s="5"/>
      <c r="Z205" s="5"/>
      <c r="AA205" s="112"/>
      <c r="AB205" s="5"/>
      <c r="AC205" s="5"/>
    </row>
    <row r="206" ht="18.0" customHeight="1">
      <c r="A206" s="109"/>
      <c r="B206" s="110"/>
      <c r="C206" s="111"/>
      <c r="D206" s="112"/>
      <c r="E206" s="113"/>
      <c r="F206" s="114"/>
      <c r="G206" s="114"/>
      <c r="H206" s="113"/>
      <c r="I206" s="114"/>
      <c r="J206" s="114"/>
      <c r="K206" s="114"/>
      <c r="L206" s="110"/>
      <c r="M206" s="110"/>
      <c r="N206" s="110"/>
      <c r="O206" s="110"/>
      <c r="P206" s="110"/>
      <c r="Q206" s="110"/>
      <c r="R206" s="110"/>
      <c r="S206" s="110"/>
      <c r="T206" s="112"/>
      <c r="U206" s="5"/>
      <c r="V206" s="5"/>
      <c r="W206" s="5"/>
      <c r="X206" s="5"/>
      <c r="Y206" s="5"/>
      <c r="Z206" s="5"/>
      <c r="AA206" s="112"/>
      <c r="AB206" s="5"/>
      <c r="AC206" s="5"/>
    </row>
    <row r="207" ht="18.0" customHeight="1">
      <c r="A207" s="109"/>
      <c r="B207" s="110"/>
      <c r="C207" s="111"/>
      <c r="D207" s="112"/>
      <c r="E207" s="113"/>
      <c r="F207" s="114"/>
      <c r="G207" s="114"/>
      <c r="H207" s="113"/>
      <c r="I207" s="114"/>
      <c r="J207" s="114"/>
      <c r="K207" s="114"/>
      <c r="L207" s="110"/>
      <c r="M207" s="110"/>
      <c r="N207" s="110"/>
      <c r="O207" s="110"/>
      <c r="P207" s="110"/>
      <c r="Q207" s="110"/>
      <c r="R207" s="110"/>
      <c r="S207" s="110"/>
      <c r="T207" s="112"/>
      <c r="U207" s="5"/>
      <c r="V207" s="5"/>
      <c r="W207" s="5"/>
      <c r="X207" s="5"/>
      <c r="Y207" s="5"/>
      <c r="Z207" s="5"/>
      <c r="AA207" s="112"/>
      <c r="AB207" s="5"/>
      <c r="AC207" s="5"/>
    </row>
    <row r="208" ht="18.0" customHeight="1">
      <c r="A208" s="109"/>
      <c r="B208" s="110"/>
      <c r="C208" s="111"/>
      <c r="D208" s="112"/>
      <c r="E208" s="113"/>
      <c r="F208" s="114"/>
      <c r="G208" s="114"/>
      <c r="H208" s="113"/>
      <c r="I208" s="114"/>
      <c r="J208" s="114"/>
      <c r="K208" s="114"/>
      <c r="L208" s="110"/>
      <c r="M208" s="110"/>
      <c r="N208" s="110"/>
      <c r="O208" s="110"/>
      <c r="P208" s="110"/>
      <c r="Q208" s="110"/>
      <c r="R208" s="110"/>
      <c r="S208" s="110"/>
      <c r="T208" s="112"/>
      <c r="U208" s="5"/>
      <c r="V208" s="5"/>
      <c r="W208" s="5"/>
      <c r="X208" s="5"/>
      <c r="Y208" s="5"/>
      <c r="Z208" s="5"/>
      <c r="AA208" s="112"/>
      <c r="AB208" s="5"/>
      <c r="AC208" s="5"/>
    </row>
    <row r="209" ht="18.0" customHeight="1">
      <c r="A209" s="109"/>
      <c r="B209" s="110"/>
      <c r="C209" s="111"/>
      <c r="D209" s="112"/>
      <c r="E209" s="113"/>
      <c r="F209" s="114"/>
      <c r="G209" s="114"/>
      <c r="H209" s="113"/>
      <c r="I209" s="114"/>
      <c r="J209" s="114"/>
      <c r="K209" s="114"/>
      <c r="L209" s="110"/>
      <c r="M209" s="110"/>
      <c r="N209" s="110"/>
      <c r="O209" s="110"/>
      <c r="P209" s="110"/>
      <c r="Q209" s="110"/>
      <c r="R209" s="110"/>
      <c r="S209" s="110"/>
      <c r="T209" s="112"/>
      <c r="U209" s="5"/>
      <c r="V209" s="5"/>
      <c r="W209" s="5"/>
      <c r="X209" s="5"/>
      <c r="Y209" s="5"/>
      <c r="Z209" s="5"/>
      <c r="AA209" s="112"/>
      <c r="AB209" s="5"/>
      <c r="AC209" s="5"/>
    </row>
    <row r="210" ht="18.0" customHeight="1">
      <c r="A210" s="109"/>
      <c r="B210" s="110"/>
      <c r="C210" s="111"/>
      <c r="D210" s="112"/>
      <c r="E210" s="113"/>
      <c r="F210" s="114"/>
      <c r="G210" s="114"/>
      <c r="H210" s="113"/>
      <c r="I210" s="114"/>
      <c r="J210" s="114"/>
      <c r="K210" s="114"/>
      <c r="L210" s="110"/>
      <c r="M210" s="110"/>
      <c r="N210" s="110"/>
      <c r="O210" s="110"/>
      <c r="P210" s="110"/>
      <c r="Q210" s="110"/>
      <c r="R210" s="110"/>
      <c r="S210" s="110"/>
      <c r="T210" s="112"/>
      <c r="U210" s="5"/>
      <c r="V210" s="5"/>
      <c r="W210" s="5"/>
      <c r="X210" s="5"/>
      <c r="Y210" s="5"/>
      <c r="Z210" s="5"/>
      <c r="AA210" s="112"/>
      <c r="AB210" s="5"/>
      <c r="AC210" s="5"/>
    </row>
    <row r="211" ht="18.0" customHeight="1">
      <c r="A211" s="109"/>
      <c r="B211" s="110"/>
      <c r="C211" s="111"/>
      <c r="D211" s="112"/>
      <c r="E211" s="113"/>
      <c r="F211" s="114"/>
      <c r="G211" s="114"/>
      <c r="H211" s="113"/>
      <c r="I211" s="114"/>
      <c r="J211" s="114"/>
      <c r="K211" s="114"/>
      <c r="L211" s="110"/>
      <c r="M211" s="110"/>
      <c r="N211" s="110"/>
      <c r="O211" s="110"/>
      <c r="P211" s="110"/>
      <c r="Q211" s="110"/>
      <c r="R211" s="110"/>
      <c r="S211" s="110"/>
      <c r="T211" s="112"/>
      <c r="U211" s="5"/>
      <c r="V211" s="5"/>
      <c r="W211" s="5"/>
      <c r="X211" s="5"/>
      <c r="Y211" s="5"/>
      <c r="Z211" s="5"/>
      <c r="AA211" s="112"/>
      <c r="AB211" s="5"/>
      <c r="AC211" s="5"/>
    </row>
    <row r="212" ht="18.0" customHeight="1">
      <c r="A212" s="109"/>
      <c r="B212" s="110"/>
      <c r="C212" s="111"/>
      <c r="D212" s="112"/>
      <c r="E212" s="113"/>
      <c r="F212" s="114"/>
      <c r="G212" s="114"/>
      <c r="H212" s="113"/>
      <c r="I212" s="114"/>
      <c r="J212" s="114"/>
      <c r="K212" s="114"/>
      <c r="L212" s="110"/>
      <c r="M212" s="110"/>
      <c r="N212" s="110"/>
      <c r="O212" s="110"/>
      <c r="P212" s="110"/>
      <c r="Q212" s="110"/>
      <c r="R212" s="110"/>
      <c r="S212" s="110"/>
      <c r="T212" s="112"/>
      <c r="U212" s="5"/>
      <c r="V212" s="5"/>
      <c r="W212" s="5"/>
      <c r="X212" s="5"/>
      <c r="Y212" s="5"/>
      <c r="Z212" s="5"/>
      <c r="AA212" s="112"/>
      <c r="AB212" s="5"/>
      <c r="AC212" s="5"/>
    </row>
    <row r="213" ht="18.0" customHeight="1">
      <c r="A213" s="109"/>
      <c r="B213" s="110"/>
      <c r="C213" s="111"/>
      <c r="D213" s="112"/>
      <c r="E213" s="113"/>
      <c r="F213" s="114"/>
      <c r="G213" s="114"/>
      <c r="H213" s="113"/>
      <c r="I213" s="114"/>
      <c r="J213" s="114"/>
      <c r="K213" s="114"/>
      <c r="L213" s="110"/>
      <c r="M213" s="110"/>
      <c r="N213" s="110"/>
      <c r="O213" s="110"/>
      <c r="P213" s="110"/>
      <c r="Q213" s="110"/>
      <c r="R213" s="110"/>
      <c r="S213" s="110"/>
      <c r="T213" s="112"/>
      <c r="U213" s="5"/>
      <c r="V213" s="5"/>
      <c r="W213" s="5"/>
      <c r="X213" s="5"/>
      <c r="Y213" s="5"/>
      <c r="Z213" s="5"/>
      <c r="AA213" s="112"/>
      <c r="AB213" s="5"/>
      <c r="AC213" s="5"/>
    </row>
    <row r="214" ht="18.0" customHeight="1">
      <c r="A214" s="109"/>
      <c r="B214" s="110"/>
      <c r="C214" s="111"/>
      <c r="D214" s="112"/>
      <c r="E214" s="113"/>
      <c r="F214" s="114"/>
      <c r="G214" s="114"/>
      <c r="H214" s="113"/>
      <c r="I214" s="114"/>
      <c r="J214" s="114"/>
      <c r="K214" s="114"/>
      <c r="L214" s="110"/>
      <c r="M214" s="110"/>
      <c r="N214" s="110"/>
      <c r="O214" s="110"/>
      <c r="P214" s="110"/>
      <c r="Q214" s="110"/>
      <c r="R214" s="110"/>
      <c r="S214" s="110"/>
      <c r="T214" s="112"/>
      <c r="U214" s="5"/>
      <c r="V214" s="5"/>
      <c r="W214" s="5"/>
      <c r="X214" s="5"/>
      <c r="Y214" s="5"/>
      <c r="Z214" s="5"/>
      <c r="AA214" s="112"/>
      <c r="AB214" s="5"/>
      <c r="AC214" s="5"/>
    </row>
    <row r="215" ht="18.0" customHeight="1">
      <c r="A215" s="109"/>
      <c r="B215" s="110"/>
      <c r="C215" s="111"/>
      <c r="D215" s="112"/>
      <c r="E215" s="113"/>
      <c r="F215" s="114"/>
      <c r="G215" s="114"/>
      <c r="H215" s="113"/>
      <c r="I215" s="114"/>
      <c r="J215" s="114"/>
      <c r="K215" s="114"/>
      <c r="L215" s="110"/>
      <c r="M215" s="110"/>
      <c r="N215" s="110"/>
      <c r="O215" s="110"/>
      <c r="P215" s="110"/>
      <c r="Q215" s="110"/>
      <c r="R215" s="110"/>
      <c r="S215" s="110"/>
      <c r="T215" s="112"/>
      <c r="U215" s="5"/>
      <c r="V215" s="5"/>
      <c r="W215" s="5"/>
      <c r="X215" s="5"/>
      <c r="Y215" s="5"/>
      <c r="Z215" s="5"/>
      <c r="AA215" s="112"/>
      <c r="AB215" s="5"/>
      <c r="AC215" s="5"/>
    </row>
    <row r="216" ht="18.0" customHeight="1">
      <c r="A216" s="109"/>
      <c r="B216" s="110"/>
      <c r="C216" s="111"/>
      <c r="D216" s="112"/>
      <c r="E216" s="113"/>
      <c r="F216" s="114"/>
      <c r="G216" s="114"/>
      <c r="H216" s="113"/>
      <c r="I216" s="114"/>
      <c r="J216" s="114"/>
      <c r="K216" s="114"/>
      <c r="L216" s="110"/>
      <c r="M216" s="110"/>
      <c r="N216" s="110"/>
      <c r="O216" s="110"/>
      <c r="P216" s="110"/>
      <c r="Q216" s="110"/>
      <c r="R216" s="110"/>
      <c r="S216" s="110"/>
      <c r="T216" s="112"/>
      <c r="U216" s="5"/>
      <c r="V216" s="5"/>
      <c r="W216" s="5"/>
      <c r="X216" s="5"/>
      <c r="Y216" s="5"/>
      <c r="Z216" s="5"/>
      <c r="AA216" s="112"/>
      <c r="AB216" s="5"/>
      <c r="AC216" s="5"/>
    </row>
    <row r="217" ht="18.0" customHeight="1">
      <c r="A217" s="109"/>
      <c r="B217" s="110"/>
      <c r="C217" s="111"/>
      <c r="D217" s="112"/>
      <c r="E217" s="113"/>
      <c r="F217" s="114"/>
      <c r="G217" s="114"/>
      <c r="H217" s="113"/>
      <c r="I217" s="114"/>
      <c r="J217" s="114"/>
      <c r="K217" s="114"/>
      <c r="L217" s="110"/>
      <c r="M217" s="110"/>
      <c r="N217" s="110"/>
      <c r="O217" s="110"/>
      <c r="P217" s="110"/>
      <c r="Q217" s="110"/>
      <c r="R217" s="110"/>
      <c r="S217" s="110"/>
      <c r="T217" s="112"/>
      <c r="U217" s="5"/>
      <c r="V217" s="5"/>
      <c r="W217" s="5"/>
      <c r="X217" s="5"/>
      <c r="Y217" s="5"/>
      <c r="Z217" s="5"/>
      <c r="AA217" s="112"/>
      <c r="AB217" s="5"/>
      <c r="AC217" s="5"/>
    </row>
    <row r="218" ht="18.0" customHeight="1">
      <c r="A218" s="109"/>
      <c r="B218" s="110"/>
      <c r="C218" s="111"/>
      <c r="D218" s="112"/>
      <c r="E218" s="113"/>
      <c r="F218" s="114"/>
      <c r="G218" s="114"/>
      <c r="H218" s="113"/>
      <c r="I218" s="114"/>
      <c r="J218" s="114"/>
      <c r="K218" s="114"/>
      <c r="L218" s="110"/>
      <c r="M218" s="110"/>
      <c r="N218" s="110"/>
      <c r="O218" s="110"/>
      <c r="P218" s="110"/>
      <c r="Q218" s="110"/>
      <c r="R218" s="110"/>
      <c r="S218" s="110"/>
      <c r="T218" s="112"/>
      <c r="U218" s="5"/>
      <c r="V218" s="5"/>
      <c r="W218" s="5"/>
      <c r="X218" s="5"/>
      <c r="Y218" s="5"/>
      <c r="Z218" s="5"/>
      <c r="AA218" s="112"/>
      <c r="AB218" s="5"/>
      <c r="AC218" s="5"/>
    </row>
    <row r="219" ht="18.0" customHeight="1">
      <c r="A219" s="109"/>
      <c r="B219" s="110"/>
      <c r="C219" s="111"/>
      <c r="D219" s="112"/>
      <c r="E219" s="113"/>
      <c r="F219" s="114"/>
      <c r="G219" s="114"/>
      <c r="H219" s="113"/>
      <c r="I219" s="114"/>
      <c r="J219" s="114"/>
      <c r="K219" s="114"/>
      <c r="L219" s="110"/>
      <c r="M219" s="110"/>
      <c r="N219" s="110"/>
      <c r="O219" s="110"/>
      <c r="P219" s="110"/>
      <c r="Q219" s="110"/>
      <c r="R219" s="110"/>
      <c r="S219" s="110"/>
      <c r="T219" s="112"/>
      <c r="U219" s="5"/>
      <c r="V219" s="5"/>
      <c r="W219" s="5"/>
      <c r="X219" s="5"/>
      <c r="Y219" s="5"/>
      <c r="Z219" s="5"/>
      <c r="AA219" s="112"/>
      <c r="AB219" s="5"/>
      <c r="AC219" s="5"/>
    </row>
    <row r="220" ht="18.0" customHeight="1">
      <c r="A220" s="109"/>
      <c r="B220" s="110"/>
      <c r="C220" s="111"/>
      <c r="D220" s="112"/>
      <c r="E220" s="113"/>
      <c r="F220" s="114"/>
      <c r="G220" s="114"/>
      <c r="H220" s="113"/>
      <c r="I220" s="114"/>
      <c r="J220" s="114"/>
      <c r="K220" s="114"/>
      <c r="L220" s="110"/>
      <c r="M220" s="110"/>
      <c r="N220" s="110"/>
      <c r="O220" s="110"/>
      <c r="P220" s="110"/>
      <c r="Q220" s="110"/>
      <c r="R220" s="110"/>
      <c r="S220" s="110"/>
      <c r="T220" s="112"/>
      <c r="U220" s="5"/>
      <c r="V220" s="5"/>
      <c r="W220" s="5"/>
      <c r="X220" s="5"/>
      <c r="Y220" s="5"/>
      <c r="Z220" s="5"/>
      <c r="AA220" s="112"/>
      <c r="AB220" s="5"/>
      <c r="AC220" s="5"/>
    </row>
    <row r="221" ht="18.0" customHeight="1">
      <c r="A221" s="109"/>
      <c r="B221" s="110"/>
      <c r="C221" s="111"/>
      <c r="D221" s="112"/>
      <c r="E221" s="113"/>
      <c r="F221" s="114"/>
      <c r="G221" s="114"/>
      <c r="H221" s="113"/>
      <c r="I221" s="114"/>
      <c r="J221" s="114"/>
      <c r="K221" s="114"/>
      <c r="L221" s="110"/>
      <c r="M221" s="110"/>
      <c r="N221" s="110"/>
      <c r="O221" s="110"/>
      <c r="P221" s="110"/>
      <c r="Q221" s="110"/>
      <c r="R221" s="110"/>
      <c r="S221" s="110"/>
      <c r="T221" s="112"/>
      <c r="U221" s="5"/>
      <c r="V221" s="5"/>
      <c r="W221" s="5"/>
      <c r="X221" s="5"/>
      <c r="Y221" s="5"/>
      <c r="Z221" s="5"/>
      <c r="AA221" s="112"/>
      <c r="AB221" s="5"/>
      <c r="AC221" s="5"/>
    </row>
    <row r="222" ht="18.0" customHeight="1">
      <c r="A222" s="109"/>
      <c r="B222" s="110"/>
      <c r="C222" s="111"/>
      <c r="D222" s="112"/>
      <c r="E222" s="113"/>
      <c r="F222" s="114"/>
      <c r="G222" s="114"/>
      <c r="H222" s="113"/>
      <c r="I222" s="114"/>
      <c r="J222" s="114"/>
      <c r="K222" s="114"/>
      <c r="L222" s="110"/>
      <c r="M222" s="110"/>
      <c r="N222" s="110"/>
      <c r="O222" s="110"/>
      <c r="P222" s="110"/>
      <c r="Q222" s="110"/>
      <c r="R222" s="110"/>
      <c r="S222" s="110"/>
      <c r="T222" s="112"/>
      <c r="U222" s="5"/>
      <c r="V222" s="5"/>
      <c r="W222" s="5"/>
      <c r="X222" s="5"/>
      <c r="Y222" s="5"/>
      <c r="Z222" s="5"/>
      <c r="AA222" s="112"/>
      <c r="AB222" s="5"/>
      <c r="AC222" s="5"/>
    </row>
    <row r="223" ht="18.0" customHeight="1">
      <c r="A223" s="109"/>
      <c r="B223" s="110"/>
      <c r="C223" s="111"/>
      <c r="D223" s="112"/>
      <c r="E223" s="113"/>
      <c r="F223" s="114"/>
      <c r="G223" s="114"/>
      <c r="H223" s="113"/>
      <c r="I223" s="114"/>
      <c r="J223" s="114"/>
      <c r="K223" s="114"/>
      <c r="L223" s="110"/>
      <c r="M223" s="110"/>
      <c r="N223" s="110"/>
      <c r="O223" s="110"/>
      <c r="P223" s="110"/>
      <c r="Q223" s="110"/>
      <c r="R223" s="110"/>
      <c r="S223" s="110"/>
      <c r="T223" s="112"/>
      <c r="U223" s="5"/>
      <c r="V223" s="5"/>
      <c r="W223" s="5"/>
      <c r="X223" s="5"/>
      <c r="Y223" s="5"/>
      <c r="Z223" s="5"/>
      <c r="AA223" s="112"/>
      <c r="AB223" s="5"/>
      <c r="AC223" s="5"/>
    </row>
    <row r="224" ht="18.0" customHeight="1">
      <c r="A224" s="109"/>
      <c r="B224" s="110"/>
      <c r="C224" s="111"/>
      <c r="D224" s="112"/>
      <c r="E224" s="113"/>
      <c r="F224" s="114"/>
      <c r="G224" s="114"/>
      <c r="H224" s="113"/>
      <c r="I224" s="114"/>
      <c r="J224" s="114"/>
      <c r="K224" s="114"/>
      <c r="L224" s="110"/>
      <c r="M224" s="110"/>
      <c r="N224" s="110"/>
      <c r="O224" s="110"/>
      <c r="P224" s="110"/>
      <c r="Q224" s="110"/>
      <c r="R224" s="110"/>
      <c r="S224" s="110"/>
      <c r="T224" s="112"/>
      <c r="U224" s="5"/>
      <c r="V224" s="5"/>
      <c r="W224" s="5"/>
      <c r="X224" s="5"/>
      <c r="Y224" s="5"/>
      <c r="Z224" s="5"/>
      <c r="AA224" s="112"/>
      <c r="AB224" s="5"/>
      <c r="AC224" s="5"/>
    </row>
    <row r="225" ht="18.0" customHeight="1">
      <c r="A225" s="109"/>
      <c r="B225" s="110"/>
      <c r="C225" s="111"/>
      <c r="D225" s="112"/>
      <c r="E225" s="113"/>
      <c r="F225" s="114"/>
      <c r="G225" s="114"/>
      <c r="H225" s="113"/>
      <c r="I225" s="114"/>
      <c r="J225" s="114"/>
      <c r="K225" s="114"/>
      <c r="L225" s="110"/>
      <c r="M225" s="110"/>
      <c r="N225" s="110"/>
      <c r="O225" s="110"/>
      <c r="P225" s="110"/>
      <c r="Q225" s="110"/>
      <c r="R225" s="110"/>
      <c r="S225" s="110"/>
      <c r="T225" s="112"/>
      <c r="U225" s="5"/>
      <c r="V225" s="5"/>
      <c r="W225" s="5"/>
      <c r="X225" s="5"/>
      <c r="Y225" s="5"/>
      <c r="Z225" s="5"/>
      <c r="AA225" s="112"/>
      <c r="AB225" s="5"/>
      <c r="AC225" s="5"/>
    </row>
    <row r="226" ht="18.0" customHeight="1">
      <c r="A226" s="109"/>
      <c r="B226" s="110"/>
      <c r="C226" s="111"/>
      <c r="D226" s="112"/>
      <c r="E226" s="113"/>
      <c r="F226" s="114"/>
      <c r="G226" s="114"/>
      <c r="H226" s="113"/>
      <c r="I226" s="114"/>
      <c r="J226" s="114"/>
      <c r="K226" s="114"/>
      <c r="L226" s="110"/>
      <c r="M226" s="110"/>
      <c r="N226" s="110"/>
      <c r="O226" s="110"/>
      <c r="P226" s="110"/>
      <c r="Q226" s="110"/>
      <c r="R226" s="110"/>
      <c r="S226" s="110"/>
      <c r="T226" s="112"/>
      <c r="U226" s="5"/>
      <c r="V226" s="5"/>
      <c r="W226" s="5"/>
      <c r="X226" s="5"/>
      <c r="Y226" s="5"/>
      <c r="Z226" s="5"/>
      <c r="AA226" s="112"/>
      <c r="AB226" s="5"/>
      <c r="AC226" s="5"/>
    </row>
    <row r="227" ht="18.0" customHeight="1">
      <c r="A227" s="109"/>
      <c r="B227" s="110"/>
      <c r="C227" s="111"/>
      <c r="D227" s="112"/>
      <c r="E227" s="113"/>
      <c r="F227" s="114"/>
      <c r="G227" s="114"/>
      <c r="H227" s="113"/>
      <c r="I227" s="114"/>
      <c r="J227" s="114"/>
      <c r="K227" s="114"/>
      <c r="L227" s="110"/>
      <c r="M227" s="110"/>
      <c r="N227" s="110"/>
      <c r="O227" s="110"/>
      <c r="P227" s="110"/>
      <c r="Q227" s="110"/>
      <c r="R227" s="110"/>
      <c r="S227" s="110"/>
      <c r="T227" s="112"/>
      <c r="U227" s="5"/>
      <c r="V227" s="5"/>
      <c r="W227" s="5"/>
      <c r="X227" s="5"/>
      <c r="Y227" s="5"/>
      <c r="Z227" s="5"/>
      <c r="AA227" s="112"/>
      <c r="AB227" s="5"/>
      <c r="AC227" s="5"/>
    </row>
    <row r="228" ht="18.0" customHeight="1">
      <c r="A228" s="109"/>
      <c r="B228" s="110"/>
      <c r="C228" s="111"/>
      <c r="D228" s="112"/>
      <c r="E228" s="113"/>
      <c r="F228" s="114"/>
      <c r="G228" s="114"/>
      <c r="H228" s="113"/>
      <c r="I228" s="114"/>
      <c r="J228" s="114"/>
      <c r="K228" s="114"/>
      <c r="L228" s="110"/>
      <c r="M228" s="110"/>
      <c r="N228" s="110"/>
      <c r="O228" s="110"/>
      <c r="P228" s="110"/>
      <c r="Q228" s="110"/>
      <c r="R228" s="110"/>
      <c r="S228" s="110"/>
      <c r="T228" s="112"/>
      <c r="U228" s="5"/>
      <c r="V228" s="5"/>
      <c r="W228" s="5"/>
      <c r="X228" s="5"/>
      <c r="Y228" s="5"/>
      <c r="Z228" s="5"/>
      <c r="AA228" s="112"/>
      <c r="AB228" s="5"/>
      <c r="AC228" s="5"/>
    </row>
    <row r="229" ht="18.0" customHeight="1">
      <c r="A229" s="109"/>
      <c r="B229" s="5"/>
      <c r="C229" s="5"/>
      <c r="D229" s="112"/>
      <c r="E229" s="113"/>
      <c r="F229" s="114"/>
      <c r="G229" s="114"/>
      <c r="H229" s="113"/>
      <c r="I229" s="114"/>
      <c r="J229" s="114"/>
      <c r="K229" s="114"/>
      <c r="L229" s="110"/>
      <c r="M229" s="110"/>
      <c r="N229" s="110"/>
      <c r="O229" s="110"/>
      <c r="P229" s="110"/>
      <c r="Q229" s="110"/>
      <c r="R229" s="110"/>
      <c r="S229" s="110"/>
      <c r="T229" s="112"/>
      <c r="U229" s="5"/>
      <c r="V229" s="5"/>
      <c r="W229" s="5"/>
      <c r="X229" s="5"/>
      <c r="Y229" s="5"/>
      <c r="Z229" s="5"/>
      <c r="AA229" s="112"/>
      <c r="AB229" s="5"/>
      <c r="AC229" s="5"/>
    </row>
    <row r="230" ht="18.0" customHeight="1">
      <c r="A230" s="109"/>
      <c r="B230" s="5"/>
      <c r="C230" s="5"/>
      <c r="D230" s="112"/>
      <c r="E230" s="113"/>
      <c r="F230" s="114"/>
      <c r="G230" s="114"/>
      <c r="H230" s="113"/>
      <c r="I230" s="114"/>
      <c r="J230" s="114"/>
      <c r="K230" s="114"/>
      <c r="L230" s="110"/>
      <c r="M230" s="110"/>
      <c r="N230" s="110"/>
      <c r="O230" s="110"/>
      <c r="P230" s="110"/>
      <c r="Q230" s="110"/>
      <c r="R230" s="110"/>
      <c r="S230" s="110"/>
      <c r="T230" s="112"/>
      <c r="U230" s="5"/>
      <c r="V230" s="5"/>
      <c r="W230" s="5"/>
      <c r="X230" s="5"/>
      <c r="Y230" s="5"/>
      <c r="Z230" s="5"/>
      <c r="AA230" s="112"/>
      <c r="AB230" s="5"/>
      <c r="AC230" s="5"/>
    </row>
    <row r="231" ht="18.0" customHeight="1">
      <c r="A231" s="109"/>
      <c r="B231" s="5"/>
      <c r="C231" s="5"/>
      <c r="D231" s="112"/>
      <c r="E231" s="113"/>
      <c r="F231" s="114"/>
      <c r="G231" s="114"/>
      <c r="H231" s="113"/>
      <c r="I231" s="114"/>
      <c r="J231" s="114"/>
      <c r="K231" s="114"/>
      <c r="L231" s="110"/>
      <c r="M231" s="110"/>
      <c r="N231" s="110"/>
      <c r="O231" s="110"/>
      <c r="P231" s="110"/>
      <c r="Q231" s="110"/>
      <c r="R231" s="110"/>
      <c r="S231" s="110"/>
      <c r="T231" s="112"/>
      <c r="U231" s="5"/>
      <c r="V231" s="5"/>
      <c r="W231" s="5"/>
      <c r="X231" s="5"/>
      <c r="Y231" s="5"/>
      <c r="Z231" s="5"/>
      <c r="AA231" s="5"/>
      <c r="AB231" s="5"/>
      <c r="AC231" s="5"/>
    </row>
    <row r="232" ht="18.0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</row>
    <row r="233" ht="18.0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</row>
    <row r="234" ht="18.0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 ht="18.0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</row>
    <row r="236" ht="18.0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</row>
    <row r="237" ht="18.0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</row>
    <row r="238" ht="18.0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</row>
    <row r="239" ht="18.0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</row>
    <row r="240" ht="18.0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</row>
    <row r="241" ht="18.0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 ht="18.0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</row>
    <row r="243" ht="18.0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</row>
    <row r="244" ht="18.0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</row>
    <row r="245" ht="18.0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</row>
    <row r="246" ht="18.0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</row>
    <row r="247" ht="18.0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</row>
    <row r="248" ht="18.0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 ht="18.0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</row>
    <row r="250" ht="18.0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</row>
    <row r="251" ht="18.0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</row>
    <row r="252" ht="18.0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</row>
    <row r="253" ht="18.0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</row>
    <row r="254" ht="18.0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</row>
    <row r="255" ht="18.0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 ht="18.0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</row>
    <row r="257" ht="18.0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</row>
    <row r="258" ht="18.0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</row>
    <row r="259" ht="18.0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</row>
    <row r="260" ht="18.0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</row>
    <row r="261" ht="18.0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</row>
    <row r="262" ht="18.0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 ht="18.0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</row>
    <row r="264" ht="18.0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</row>
    <row r="265" ht="18.0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</row>
    <row r="266" ht="18.0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ht="18.0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ht="18.0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ht="18.0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ht="18.0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ht="18.0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ht="18.0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ht="18.0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ht="18.0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ht="18.0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ht="18.0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ht="18.0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ht="18.0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ht="18.0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ht="18.0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ht="18.0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ht="18.0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ht="18.0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ht="18.0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ht="18.0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ht="18.0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ht="18.0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ht="18.0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ht="18.0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ht="18.0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ht="18.0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ht="18.0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ht="18.0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ht="18.0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ht="18.0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ht="18.0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ht="18.0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ht="18.0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ht="18.0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ht="18.0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ht="18.0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ht="18.0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ht="18.0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ht="18.0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ht="18.0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ht="18.0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ht="18.0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ht="18.0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ht="18.0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ht="18.0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ht="18.0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ht="18.0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ht="18.0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ht="18.0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ht="18.0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ht="18.0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ht="18.0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ht="18.0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ht="18.0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ht="18.0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ht="18.0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ht="18.0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ht="18.0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ht="18.0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ht="18.0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ht="18.0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ht="18.0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ht="18.0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ht="18.0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ht="18.0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ht="18.0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ht="18.0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ht="18.0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ht="18.0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ht="18.0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ht="18.0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ht="18.0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ht="18.0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ht="18.0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ht="18.0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ht="18.0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ht="18.0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ht="18.0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ht="18.0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ht="18.0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ht="18.0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ht="18.0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ht="18.0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ht="18.0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ht="18.0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ht="18.0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ht="18.0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ht="18.0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ht="18.0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ht="18.0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ht="18.0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ht="18.0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ht="18.0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ht="18.0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ht="18.0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ht="18.0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ht="18.0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ht="18.0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ht="18.0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ht="18.0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ht="18.0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ht="18.0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ht="18.0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ht="18.0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ht="18.0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ht="18.0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ht="18.0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ht="18.0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ht="18.0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ht="18.0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ht="18.0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ht="18.0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ht="18.0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ht="18.0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ht="18.0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ht="18.0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ht="18.0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ht="18.0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ht="18.0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ht="18.0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ht="18.0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ht="18.0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ht="18.0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ht="18.0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ht="18.0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ht="18.0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ht="18.0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ht="18.0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ht="18.0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ht="18.0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ht="18.0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ht="18.0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ht="18.0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ht="18.0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ht="18.0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ht="18.0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ht="18.0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ht="18.0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ht="18.0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ht="18.0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ht="18.0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ht="18.0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ht="18.0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ht="18.0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ht="18.0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ht="18.0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ht="18.0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ht="18.0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ht="18.0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ht="18.0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ht="18.0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ht="18.0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ht="18.0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ht="18.0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ht="18.0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ht="18.0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ht="18.0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ht="18.0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ht="18.0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ht="18.0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ht="18.0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ht="18.0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ht="18.0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ht="18.0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ht="18.0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ht="18.0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ht="18.0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ht="18.0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ht="18.0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ht="18.0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ht="18.0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ht="18.0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ht="18.0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ht="18.0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ht="18.0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ht="18.0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ht="18.0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ht="18.0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ht="18.0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ht="18.0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ht="18.0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ht="18.0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ht="18.0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ht="18.0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ht="18.0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ht="18.0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ht="18.0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ht="18.0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ht="18.0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ht="18.0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ht="18.0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ht="18.0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ht="18.0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ht="18.0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ht="18.0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ht="18.0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ht="18.0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ht="18.0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ht="18.0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ht="18.0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ht="18.0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ht="18.0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ht="18.0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ht="18.0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ht="18.0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ht="18.0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ht="18.0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ht="18.0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ht="18.0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ht="18.0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ht="18.0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ht="18.0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ht="18.0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ht="18.0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ht="18.0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ht="18.0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ht="18.0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ht="18.0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ht="18.0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ht="18.0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ht="18.0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ht="18.0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ht="18.0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ht="18.0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ht="18.0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ht="18.0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ht="18.0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ht="18.0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ht="18.0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ht="18.0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ht="18.0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ht="18.0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ht="18.0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ht="18.0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ht="18.0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ht="18.0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ht="18.0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ht="18.0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ht="18.0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ht="18.0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ht="18.0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ht="18.0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ht="18.0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ht="18.0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ht="18.0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ht="18.0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ht="18.0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ht="18.0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ht="18.0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ht="18.0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ht="18.0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ht="18.0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ht="18.0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ht="18.0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ht="18.0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ht="18.0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ht="18.0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ht="18.0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ht="18.0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ht="18.0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ht="18.0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ht="18.0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ht="18.0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ht="18.0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ht="18.0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ht="18.0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ht="18.0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ht="18.0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ht="18.0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ht="18.0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ht="18.0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ht="18.0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ht="18.0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ht="18.0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ht="18.0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ht="18.0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ht="18.0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ht="18.0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ht="18.0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ht="18.0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ht="18.0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ht="18.0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ht="18.0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ht="18.0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ht="18.0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ht="18.0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ht="18.0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ht="18.0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ht="18.0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ht="18.0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ht="18.0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ht="18.0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ht="18.0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ht="18.0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ht="18.0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ht="18.0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ht="18.0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ht="18.0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ht="18.0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ht="18.0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ht="18.0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ht="18.0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ht="18.0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ht="18.0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ht="18.0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ht="18.0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ht="18.0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ht="18.0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ht="18.0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ht="18.0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ht="18.0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ht="18.0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ht="18.0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ht="18.0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ht="18.0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ht="18.0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ht="18.0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ht="18.0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ht="18.0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ht="18.0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ht="18.0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ht="18.0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ht="18.0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ht="18.0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ht="18.0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ht="18.0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ht="18.0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ht="18.0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ht="18.0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ht="18.0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ht="18.0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ht="18.0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ht="18.0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ht="18.0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ht="18.0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ht="18.0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ht="18.0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ht="18.0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ht="18.0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ht="18.0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ht="18.0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ht="18.0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ht="18.0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ht="18.0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ht="18.0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ht="18.0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ht="18.0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ht="18.0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ht="18.0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ht="18.0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ht="18.0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ht="18.0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ht="18.0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ht="18.0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ht="18.0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ht="18.0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ht="18.0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ht="18.0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ht="18.0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ht="18.0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ht="18.0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ht="18.0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ht="18.0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ht="18.0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ht="18.0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ht="18.0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ht="18.0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ht="18.0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ht="18.0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ht="18.0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ht="18.0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ht="18.0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ht="18.0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ht="18.0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ht="18.0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ht="18.0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ht="18.0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ht="18.0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ht="18.0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ht="18.0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ht="18.0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ht="18.0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ht="18.0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ht="18.0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ht="18.0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ht="18.0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ht="18.0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ht="18.0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ht="18.0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ht="18.0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ht="18.0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ht="18.0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ht="18.0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ht="18.0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ht="18.0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ht="18.0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ht="18.0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ht="18.0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ht="18.0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ht="18.0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ht="18.0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ht="18.0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ht="18.0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ht="18.0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ht="18.0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ht="18.0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ht="18.0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ht="18.0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ht="18.0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ht="18.0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ht="18.0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ht="18.0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ht="18.0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ht="18.0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ht="18.0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ht="18.0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ht="18.0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ht="18.0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ht="18.0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ht="18.0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ht="18.0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ht="18.0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ht="18.0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ht="18.0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ht="18.0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ht="18.0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ht="18.0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ht="18.0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ht="18.0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ht="18.0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ht="18.0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ht="18.0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ht="18.0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ht="18.0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ht="18.0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ht="18.0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ht="18.0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ht="18.0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ht="18.0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ht="18.0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ht="18.0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ht="18.0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ht="18.0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ht="18.0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ht="18.0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ht="18.0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ht="18.0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ht="18.0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ht="18.0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ht="18.0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ht="18.0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ht="18.0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ht="18.0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ht="18.0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ht="18.0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ht="18.0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ht="18.0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ht="18.0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ht="18.0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ht="18.0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ht="18.0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ht="18.0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ht="18.0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ht="18.0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ht="18.0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ht="18.0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ht="18.0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ht="18.0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ht="18.0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ht="18.0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ht="18.0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ht="18.0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ht="18.0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ht="18.0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ht="18.0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ht="18.0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ht="18.0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ht="18.0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ht="18.0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ht="18.0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ht="18.0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ht="18.0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ht="18.0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ht="18.0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ht="18.0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ht="18.0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ht="18.0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ht="18.0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ht="18.0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ht="18.0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ht="18.0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ht="18.0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ht="18.0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ht="18.0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ht="18.0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ht="18.0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ht="18.0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ht="18.0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ht="18.0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ht="18.0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ht="18.0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ht="18.0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ht="18.0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ht="18.0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ht="18.0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ht="18.0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ht="18.0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ht="18.0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ht="18.0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ht="18.0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ht="18.0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ht="18.0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ht="18.0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ht="18.0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ht="18.0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ht="18.0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ht="18.0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ht="18.0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ht="18.0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ht="18.0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ht="18.0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ht="18.0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ht="18.0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ht="18.0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ht="18.0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ht="18.0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ht="18.0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ht="18.0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ht="18.0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ht="18.0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ht="18.0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ht="18.0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ht="18.0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ht="18.0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ht="18.0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ht="18.0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ht="18.0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ht="18.0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ht="18.0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ht="18.0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ht="18.0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ht="18.0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ht="18.0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ht="18.0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ht="18.0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ht="18.0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ht="18.0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ht="18.0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ht="18.0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ht="18.0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ht="18.0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ht="18.0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ht="18.0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ht="18.0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ht="18.0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ht="18.0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ht="18.0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ht="18.0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ht="18.0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ht="18.0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ht="18.0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ht="18.0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ht="18.0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ht="18.0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ht="18.0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ht="18.0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ht="18.0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ht="18.0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ht="18.0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ht="18.0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ht="18.0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ht="18.0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ht="18.0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ht="18.0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ht="18.0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ht="18.0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ht="18.0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ht="18.0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ht="18.0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ht="18.0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ht="18.0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ht="18.0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ht="18.0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ht="18.0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ht="18.0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 ht="18.0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</row>
    <row r="852" ht="18.0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</row>
    <row r="853" ht="18.0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</row>
    <row r="854" ht="18.0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</row>
    <row r="855" ht="18.0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</row>
    <row r="856" ht="18.0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</row>
    <row r="857" ht="18.0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 ht="18.0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</row>
    <row r="859" ht="18.0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</row>
    <row r="860" ht="18.0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</row>
    <row r="861" ht="18.0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</row>
    <row r="862" ht="18.0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</row>
    <row r="863" ht="18.0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</row>
    <row r="864" ht="18.0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 ht="18.0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</row>
    <row r="866" ht="18.0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</row>
    <row r="867" ht="18.0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</row>
    <row r="868" ht="18.0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</row>
    <row r="869" ht="18.0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</row>
    <row r="870" ht="18.0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</row>
    <row r="871" ht="18.0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 ht="18.0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</row>
    <row r="873" ht="18.0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</row>
    <row r="874" ht="18.0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</row>
    <row r="875" ht="18.0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</row>
    <row r="876" ht="18.0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</row>
    <row r="877" ht="18.0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</row>
    <row r="878" ht="18.0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 ht="18.0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</row>
    <row r="880" ht="18.0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</row>
    <row r="881" ht="18.0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</row>
    <row r="882" ht="18.0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</row>
    <row r="883" ht="18.0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</row>
    <row r="884" ht="18.0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</row>
    <row r="885" ht="18.0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 ht="18.0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</row>
    <row r="887" ht="18.0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</row>
    <row r="888" ht="18.0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</row>
    <row r="889" ht="18.0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</row>
    <row r="890" ht="18.0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</row>
    <row r="891" ht="18.0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</row>
    <row r="892" ht="18.0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 ht="18.0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</row>
    <row r="894" ht="18.0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</row>
    <row r="895" ht="18.0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</row>
    <row r="896" ht="18.0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</row>
    <row r="897" ht="18.0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</row>
    <row r="898" ht="18.0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</row>
    <row r="899" ht="18.0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 ht="18.0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</row>
    <row r="901" ht="18.0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</row>
    <row r="902" ht="18.0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</row>
    <row r="903" ht="18.0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</row>
    <row r="904" ht="18.0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</row>
    <row r="905" ht="18.0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</row>
    <row r="906" ht="18.0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 ht="18.0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</row>
    <row r="908" ht="18.0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</row>
    <row r="909" ht="18.0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</row>
    <row r="910" ht="18.0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</row>
    <row r="911" ht="18.0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</row>
    <row r="912" ht="18.0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</row>
    <row r="913" ht="18.0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 ht="18.0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</row>
    <row r="915" ht="18.0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</row>
    <row r="916" ht="18.0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</row>
    <row r="917" ht="18.0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</row>
    <row r="918" ht="18.0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</row>
    <row r="919" ht="18.0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</row>
    <row r="920" ht="18.0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 ht="18.0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</row>
    <row r="922" ht="18.0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</row>
    <row r="923" ht="18.0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</row>
    <row r="924" ht="18.0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</row>
    <row r="925" ht="18.0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</row>
    <row r="926" ht="18.0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</row>
    <row r="927" ht="18.0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 ht="18.0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</row>
    <row r="929" ht="18.0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</row>
    <row r="930" ht="18.0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</row>
    <row r="931" ht="18.0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</row>
    <row r="932" ht="18.0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</row>
    <row r="933" ht="18.0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</row>
    <row r="934" ht="18.0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 ht="18.0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</row>
    <row r="936" ht="18.0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</row>
    <row r="937" ht="18.0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</row>
    <row r="938" ht="18.0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</row>
    <row r="939" ht="18.0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</row>
    <row r="940" ht="18.0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</row>
    <row r="941" ht="18.0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 ht="18.0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</row>
    <row r="943" ht="18.0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</row>
    <row r="944" ht="18.0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</row>
    <row r="945" ht="18.0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</row>
    <row r="946" ht="18.0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</row>
    <row r="947" ht="18.0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</row>
    <row r="948" ht="18.0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 ht="18.0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</row>
    <row r="950" ht="18.0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</row>
    <row r="951" ht="18.0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</row>
    <row r="952" ht="18.0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</row>
    <row r="953" ht="18.0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</row>
    <row r="954" ht="18.0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</row>
    <row r="955" ht="18.0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</row>
    <row r="956" ht="18.0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</row>
    <row r="957" ht="18.0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</row>
    <row r="958" ht="18.0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</row>
    <row r="959" ht="18.0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</row>
    <row r="960" ht="18.0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</row>
    <row r="961" ht="18.0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</row>
    <row r="962" ht="18.0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</row>
    <row r="963" ht="18.0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</row>
    <row r="964" ht="18.0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</row>
    <row r="965" ht="18.0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</row>
    <row r="966" ht="18.0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</row>
    <row r="967" ht="18.0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</row>
    <row r="968" ht="18.0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</row>
    <row r="969" ht="18.0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</row>
    <row r="970" ht="18.0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</row>
    <row r="971" ht="18.0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</row>
    <row r="972" ht="18.0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</row>
    <row r="973" ht="18.0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</row>
    <row r="974" ht="18.0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</row>
    <row r="975" ht="18.0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</row>
    <row r="976" ht="18.0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</row>
    <row r="977" ht="18.0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</row>
    <row r="978" ht="18.0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</row>
    <row r="979" ht="18.0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</row>
    <row r="980" ht="18.0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</row>
    <row r="981" ht="18.0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</row>
    <row r="982" ht="18.0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</row>
    <row r="983" ht="18.0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</row>
    <row r="984" ht="18.0" customHeight="1">
      <c r="A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</row>
    <row r="985" ht="18.0" customHeight="1">
      <c r="A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</row>
    <row r="986" ht="18.0" customHeight="1">
      <c r="A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</row>
    <row r="987" ht="18.0" customHeight="1">
      <c r="A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</row>
    <row r="988" ht="18.0" customHeight="1">
      <c r="A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</row>
    <row r="989" ht="18.0" customHeight="1">
      <c r="A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</row>
    <row r="990" ht="18.0" customHeight="1">
      <c r="A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</row>
  </sheetData>
  <mergeCells count="9">
    <mergeCell ref="B5:C5"/>
    <mergeCell ref="B6:C7"/>
    <mergeCell ref="B2:B3"/>
    <mergeCell ref="C2:C3"/>
    <mergeCell ref="E2:M3"/>
    <mergeCell ref="U2:W3"/>
    <mergeCell ref="X2:Z3"/>
    <mergeCell ref="E5:S5"/>
    <mergeCell ref="U5:Z5"/>
  </mergeCells>
  <conditionalFormatting sqref="X4:Z4 X2">
    <cfRule type="cellIs" dxfId="0" priority="1" operator="greaterThan">
      <formula>0</formula>
    </cfRule>
  </conditionalFormatting>
  <conditionalFormatting sqref="X4:Z4 X2">
    <cfRule type="cellIs" dxfId="1" priority="2" operator="lessThan">
      <formula>0</formula>
    </cfRule>
  </conditionalFormatting>
  <conditionalFormatting sqref="B16">
    <cfRule type="cellIs" dxfId="0" priority="3" operator="greaterThan">
      <formula>0</formula>
    </cfRule>
  </conditionalFormatting>
  <conditionalFormatting sqref="B16">
    <cfRule type="cellIs" dxfId="1" priority="4" operator="lessThan">
      <formula>0</formula>
    </cfRule>
  </conditionalFormatting>
  <conditionalFormatting sqref="B19">
    <cfRule type="cellIs" dxfId="0" priority="5" operator="greaterThan">
      <formula>0</formula>
    </cfRule>
  </conditionalFormatting>
  <conditionalFormatting sqref="B19">
    <cfRule type="cellIs" dxfId="1" priority="6" operator="lessThan">
      <formula>0</formula>
    </cfRule>
  </conditionalFormatting>
  <conditionalFormatting sqref="B22">
    <cfRule type="cellIs" dxfId="0" priority="7" operator="greaterThan">
      <formula>0</formula>
    </cfRule>
  </conditionalFormatting>
  <conditionalFormatting sqref="B22">
    <cfRule type="cellIs" dxfId="1" priority="8" operator="lessThan">
      <formula>0</formula>
    </cfRule>
  </conditionalFormatting>
  <conditionalFormatting sqref="B25">
    <cfRule type="cellIs" dxfId="0" priority="9" operator="greaterThan">
      <formula>0</formula>
    </cfRule>
  </conditionalFormatting>
  <conditionalFormatting sqref="B25">
    <cfRule type="cellIs" dxfId="1" priority="10" operator="lessThan">
      <formula>0</formula>
    </cfRule>
  </conditionalFormatting>
  <conditionalFormatting sqref="B28">
    <cfRule type="cellIs" dxfId="0" priority="11" operator="greaterThan">
      <formula>0</formula>
    </cfRule>
  </conditionalFormatting>
  <conditionalFormatting sqref="B28">
    <cfRule type="cellIs" dxfId="1" priority="12" operator="lessThan">
      <formula>0</formula>
    </cfRule>
  </conditionalFormatting>
  <conditionalFormatting sqref="B10">
    <cfRule type="cellIs" dxfId="0" priority="13" operator="greaterThan">
      <formula>0</formula>
    </cfRule>
  </conditionalFormatting>
  <conditionalFormatting sqref="B10">
    <cfRule type="cellIs" dxfId="1" priority="14" operator="lessThan">
      <formula>0</formula>
    </cfRule>
  </conditionalFormatting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DD7EE"/>
    <pageSetUpPr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1.22" defaultRowHeight="15.0"/>
  <cols>
    <col customWidth="1" min="1" max="1" width="1.0"/>
    <col customWidth="1" min="2" max="2" width="9.33"/>
    <col customWidth="1" min="3" max="3" width="8.67"/>
    <col customWidth="1" min="4" max="4" width="7.44"/>
    <col customWidth="1" min="5" max="5" width="6.67"/>
    <col customWidth="1" min="6" max="6" width="6.11"/>
    <col customWidth="1" min="7" max="7" width="9.22"/>
    <col customWidth="1" min="8" max="8" width="8.78"/>
    <col customWidth="1" min="9" max="9" width="7.33"/>
    <col customWidth="1" min="10" max="11" width="7.67"/>
    <col customWidth="1" min="12" max="12" width="10.22"/>
    <col customWidth="1" min="13" max="13" width="6.44"/>
    <col customWidth="1" min="14" max="14" width="9.22"/>
    <col customWidth="1" min="15" max="15" width="12.11"/>
    <col customWidth="1" min="16" max="16" width="7.67"/>
    <col customWidth="1" min="17" max="17" width="8.22"/>
    <col customWidth="1" min="18" max="19" width="6.33"/>
    <col customWidth="1" min="20" max="20" width="9.44"/>
    <col customWidth="1" min="21" max="21" width="6.44"/>
    <col customWidth="1" min="22" max="22" width="7.11"/>
    <col customWidth="1" hidden="1" min="23" max="23" width="5.44"/>
    <col customWidth="1" hidden="1" min="24" max="24" width="7.67"/>
    <col customWidth="1" min="25" max="25" width="10.11"/>
    <col customWidth="1" min="26" max="27" width="9.33"/>
    <col customWidth="1" min="28" max="28" width="1.78"/>
    <col customWidth="1" min="29" max="29" width="9.56"/>
    <col customWidth="1" min="30" max="30" width="7.33"/>
    <col customWidth="1" min="31" max="31" width="7.11"/>
    <col customWidth="1" min="32" max="32" width="5.89"/>
    <col customWidth="1" min="33" max="34" width="7.22"/>
    <col customWidth="1" min="35" max="35" width="9.22"/>
    <col customWidth="1" min="36" max="37" width="7.22"/>
    <col customWidth="1" min="38" max="38" width="2.56"/>
    <col customWidth="1" min="39" max="39" width="8.0"/>
    <col customWidth="1" min="40" max="53" width="11.22"/>
  </cols>
  <sheetData>
    <row r="1" ht="24.0" customHeight="1">
      <c r="A1" s="1"/>
      <c r="B1" s="154" t="s">
        <v>48</v>
      </c>
      <c r="C1" s="3"/>
      <c r="D1" s="3"/>
      <c r="E1" s="3"/>
      <c r="F1" s="3"/>
      <c r="G1" s="3"/>
      <c r="H1" s="155" t="s">
        <v>49</v>
      </c>
      <c r="I1" s="154"/>
      <c r="J1" s="3"/>
      <c r="K1" s="3"/>
      <c r="L1" s="3"/>
      <c r="M1" s="3"/>
      <c r="N1" s="3"/>
      <c r="O1" s="3"/>
      <c r="P1" s="3"/>
      <c r="Q1" s="3"/>
      <c r="R1" s="2"/>
      <c r="S1" s="2"/>
      <c r="T1" s="2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</row>
    <row r="2" ht="31.5" customHeight="1">
      <c r="A2" s="6"/>
      <c r="B2" s="156" t="s">
        <v>50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/>
      <c r="P2" s="13"/>
      <c r="Q2" s="157" t="s">
        <v>51</v>
      </c>
      <c r="R2" s="158"/>
      <c r="S2" s="158"/>
      <c r="T2" s="159">
        <v>0.9</v>
      </c>
      <c r="U2" s="160"/>
      <c r="V2" s="161" t="s">
        <v>52</v>
      </c>
      <c r="W2" s="15"/>
      <c r="X2" s="15"/>
      <c r="Y2" s="162">
        <f>sumif(AI7:AI337,"",AK7:AK337)</f>
        <v>-66097</v>
      </c>
      <c r="Z2" s="15"/>
      <c r="AA2" s="15"/>
      <c r="AB2" s="15"/>
      <c r="AC2" s="16"/>
      <c r="AD2" s="17"/>
      <c r="AE2" s="17"/>
      <c r="AF2" s="17"/>
      <c r="AG2" s="17"/>
      <c r="AH2" s="17"/>
      <c r="AI2" s="17"/>
      <c r="AJ2" s="17"/>
      <c r="AK2" s="18"/>
      <c r="AL2" s="21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ht="27.0" customHeight="1">
      <c r="A3" s="22"/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7"/>
      <c r="P3" s="13"/>
      <c r="Q3" s="163" t="s">
        <v>53</v>
      </c>
      <c r="R3" s="164"/>
      <c r="S3" s="165"/>
      <c r="T3" s="166">
        <f>U338</f>
        <v>91162</v>
      </c>
      <c r="U3" s="160"/>
      <c r="V3" s="161" t="s">
        <v>54</v>
      </c>
      <c r="W3" s="15"/>
      <c r="X3" s="15"/>
      <c r="Y3" s="167">
        <f>SUMIFS($AK$7:$AK$337,AI7:AI337,"&lt;&gt;")</f>
        <v>10267</v>
      </c>
      <c r="Z3" s="15"/>
      <c r="AA3" s="15"/>
      <c r="AB3" s="15"/>
      <c r="AC3" s="28"/>
      <c r="AD3" s="26"/>
      <c r="AE3" s="26"/>
      <c r="AF3" s="26"/>
      <c r="AG3" s="26"/>
      <c r="AH3" s="26"/>
      <c r="AI3" s="26"/>
      <c r="AJ3" s="26"/>
      <c r="AK3" s="29"/>
      <c r="AL3" s="33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</row>
    <row r="4" ht="15.0" customHeight="1">
      <c r="A4" s="34"/>
      <c r="B4" s="36"/>
      <c r="C4" s="36"/>
      <c r="D4" s="36"/>
      <c r="E4" s="36"/>
      <c r="F4" s="36"/>
      <c r="G4" s="36"/>
      <c r="H4" s="36"/>
      <c r="I4" s="36"/>
      <c r="J4" s="121"/>
      <c r="K4" s="121"/>
      <c r="L4" s="121"/>
      <c r="M4" s="121"/>
      <c r="N4" s="121"/>
      <c r="O4" s="122"/>
      <c r="P4" s="122"/>
      <c r="Q4" s="15"/>
      <c r="R4" s="15"/>
      <c r="S4" s="15"/>
      <c r="T4" s="168"/>
      <c r="U4" s="15"/>
      <c r="V4" s="15"/>
      <c r="W4" s="15"/>
      <c r="X4" s="15"/>
      <c r="Y4" s="15"/>
      <c r="Z4" s="15"/>
      <c r="AA4" s="15"/>
      <c r="AB4" s="15"/>
      <c r="AC4" s="38"/>
      <c r="AD4" s="38"/>
      <c r="AE4" s="39"/>
      <c r="AF4" s="39"/>
      <c r="AG4" s="39"/>
      <c r="AH4" s="39"/>
      <c r="AI4" s="39"/>
      <c r="AJ4" s="39"/>
      <c r="AK4" s="39"/>
      <c r="AL4" s="33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</row>
    <row r="5" ht="32.25" customHeight="1">
      <c r="A5" s="34"/>
      <c r="B5" s="169" t="s">
        <v>4</v>
      </c>
      <c r="AB5" s="43"/>
      <c r="AC5" s="169" t="s">
        <v>55</v>
      </c>
      <c r="AL5" s="48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</row>
    <row r="6" ht="43.5" customHeight="1">
      <c r="A6" s="22"/>
      <c r="B6" s="170" t="s">
        <v>6</v>
      </c>
      <c r="C6" s="171" t="s">
        <v>56</v>
      </c>
      <c r="D6" s="171" t="s">
        <v>57</v>
      </c>
      <c r="E6" s="172" t="s">
        <v>7</v>
      </c>
      <c r="F6" s="172" t="s">
        <v>8</v>
      </c>
      <c r="G6" s="173" t="s">
        <v>9</v>
      </c>
      <c r="H6" s="171" t="s">
        <v>58</v>
      </c>
      <c r="I6" s="172" t="s">
        <v>10</v>
      </c>
      <c r="J6" s="171" t="s">
        <v>59</v>
      </c>
      <c r="K6" s="171" t="s">
        <v>60</v>
      </c>
      <c r="L6" s="171" t="s">
        <v>61</v>
      </c>
      <c r="M6" s="172" t="s">
        <v>11</v>
      </c>
      <c r="N6" s="171" t="s">
        <v>62</v>
      </c>
      <c r="O6" s="171" t="s">
        <v>63</v>
      </c>
      <c r="P6" s="170" t="s">
        <v>15</v>
      </c>
      <c r="Q6" s="170" t="s">
        <v>16</v>
      </c>
      <c r="R6" s="174" t="s">
        <v>64</v>
      </c>
      <c r="S6" s="170" t="s">
        <v>13</v>
      </c>
      <c r="T6" s="170" t="s">
        <v>17</v>
      </c>
      <c r="U6" s="170" t="s">
        <v>18</v>
      </c>
      <c r="V6" s="174" t="s">
        <v>65</v>
      </c>
      <c r="W6" s="174" t="s">
        <v>66</v>
      </c>
      <c r="X6" s="170"/>
      <c r="Y6" s="174" t="s">
        <v>67</v>
      </c>
      <c r="Z6" s="174" t="s">
        <v>68</v>
      </c>
      <c r="AA6" s="170" t="s">
        <v>20</v>
      </c>
      <c r="AB6" s="47"/>
      <c r="AC6" s="174" t="s">
        <v>69</v>
      </c>
      <c r="AD6" s="171" t="s">
        <v>57</v>
      </c>
      <c r="AE6" s="173" t="s">
        <v>23</v>
      </c>
      <c r="AF6" s="171" t="s">
        <v>24</v>
      </c>
      <c r="AG6" s="171" t="s">
        <v>70</v>
      </c>
      <c r="AH6" s="171" t="s">
        <v>71</v>
      </c>
      <c r="AI6" s="171" t="s">
        <v>72</v>
      </c>
      <c r="AJ6" s="171" t="s">
        <v>73</v>
      </c>
      <c r="AK6" s="171" t="s">
        <v>74</v>
      </c>
      <c r="AL6" s="48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</row>
    <row r="7" ht="18.0" customHeight="1">
      <c r="A7" s="22"/>
      <c r="B7" s="175">
        <v>44327.0</v>
      </c>
      <c r="C7" s="176" t="s">
        <v>75</v>
      </c>
      <c r="D7" s="177" t="s">
        <v>76</v>
      </c>
      <c r="E7" s="178" t="s">
        <v>26</v>
      </c>
      <c r="F7" s="178" t="s">
        <v>27</v>
      </c>
      <c r="G7" s="175">
        <v>44330.0</v>
      </c>
      <c r="H7" s="179">
        <f>IFERROR(__xludf.DUMMYFUNCTION("GOOGLEFINANCE(D7,""price"")"),7.53)</f>
        <v>7.53</v>
      </c>
      <c r="I7" s="180">
        <v>111.0</v>
      </c>
      <c r="J7" s="181"/>
      <c r="K7" s="181"/>
      <c r="L7" s="181" t="str">
        <f t="shared" ref="L7:L46" si="1">if(O7="Open",if(E7="Call",I7-H7,if(E7="Put",H7-I7))/I7,"Option Closed")</f>
        <v>Option Closed</v>
      </c>
      <c r="M7" s="182">
        <v>2.0</v>
      </c>
      <c r="N7" s="180">
        <v>0.37</v>
      </c>
      <c r="O7" s="183" t="s">
        <v>45</v>
      </c>
      <c r="P7" s="175">
        <v>44329.0</v>
      </c>
      <c r="Q7" s="184">
        <v>0.02</v>
      </c>
      <c r="R7" s="185">
        <f t="shared" ref="R7:R46" si="2">if(N7="","",N7*(1-$T$2))</f>
        <v>0.037</v>
      </c>
      <c r="S7" s="186">
        <f t="shared" ref="S7:S46" si="3">IF(B7="","",IF(AND(E7="Stock",F7="Buy"),(100*((M7*N7)*-1)),IF(AND(E7="Call",F7="Buy"),(100*((M7*N7)*-1)),IF(AND(E7="PUT",F7="Buy"),(100*((M7*N7)*-1)),100*(M7*N7)))))</f>
        <v>74</v>
      </c>
      <c r="T7" s="187">
        <f t="shared" ref="T7:T46" si="4">IF(B7="","",IF(AND(E7="Stock",F7="Buy"),(100*((M7*Q7)*1)),IF(AND(E7="Call",F7="Buy"),(100*((M7*Q7)*1)),IF(AND(E7="PUT",F7="Buy"),(100*((M7*Q7)*1)),(100*(M7*Q7))*-1))))</f>
        <v>-4</v>
      </c>
      <c r="U7" s="188">
        <f t="shared" ref="U7:U46" si="5">IF(S7="","",S7+T7)</f>
        <v>70</v>
      </c>
      <c r="V7" s="189">
        <f t="shared" ref="V7:V46" si="6">if(N7="","",N7/I7)</f>
        <v>0.003333333333</v>
      </c>
      <c r="W7" s="190" t="str">
        <f>IFERROR(__xludf.DUMMYFUNCTION("if(D7="""","""",SPLIT(INDEX(IMPORTHTML(concatenate(""https://finance.yahoo.com/quote/"",D7),""table"",2),6,2),"" ""))"),"#REF!")</f>
        <v>#REF!</v>
      </c>
      <c r="X7" s="191"/>
      <c r="Y7" s="189" t="str">
        <f t="shared" ref="Y7:Y46" si="7">if(iserror(W7/H7),"",W7/H7)</f>
        <v/>
      </c>
      <c r="Z7" s="191" t="str">
        <f t="shared" ref="Z7:Z328" si="8">if(G7-today()&lt;0,"",G7-today())</f>
        <v/>
      </c>
      <c r="AA7" s="191">
        <f t="shared" ref="AA7:AA328" si="9">MIN(IF(AND(B7="",P7=""),"",IF(P7="",TODAY()-B7,P7-B7)),G7-B7)</f>
        <v>2</v>
      </c>
      <c r="AB7" s="47"/>
      <c r="AC7" s="192">
        <v>44327.0</v>
      </c>
      <c r="AD7" s="193" t="s">
        <v>44</v>
      </c>
      <c r="AE7" s="194">
        <v>100.0</v>
      </c>
      <c r="AF7" s="195">
        <v>46.0</v>
      </c>
      <c r="AG7" s="196">
        <f t="shared" ref="AG7:AG9" si="10">AF7*AE7</f>
        <v>4600</v>
      </c>
      <c r="AH7" s="197">
        <f t="shared" ref="AH7:AH9" si="11">sumif(D:D,AD7,U:U)</f>
        <v>301</v>
      </c>
      <c r="AI7" s="198">
        <v>44428.0</v>
      </c>
      <c r="AJ7" s="199">
        <v>47.0</v>
      </c>
      <c r="AK7" s="196">
        <f>IFERROR(__xludf.DUMMYFUNCTION("if(AI7="""",(googlefinance(AD7,""price"")-AF7)*AE7,(AJ7-AF7)*AE7)"),100.0)</f>
        <v>100</v>
      </c>
      <c r="AL7" s="48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</row>
    <row r="8" ht="18.0" customHeight="1">
      <c r="A8" s="22"/>
      <c r="B8" s="175">
        <v>44327.0</v>
      </c>
      <c r="C8" s="176" t="s">
        <v>75</v>
      </c>
      <c r="D8" s="177" t="s">
        <v>77</v>
      </c>
      <c r="E8" s="178" t="s">
        <v>26</v>
      </c>
      <c r="F8" s="178" t="s">
        <v>27</v>
      </c>
      <c r="G8" s="175">
        <v>44330.0</v>
      </c>
      <c r="H8" s="179">
        <f>IFERROR(__xludf.DUMMYFUNCTION("GOOGLEFINANCE(D8,""price"")"),8.76)</f>
        <v>8.76</v>
      </c>
      <c r="I8" s="180">
        <v>31.5</v>
      </c>
      <c r="J8" s="200"/>
      <c r="K8" s="200"/>
      <c r="L8" s="181" t="str">
        <f t="shared" si="1"/>
        <v>Option Closed</v>
      </c>
      <c r="M8" s="182">
        <v>3.0</v>
      </c>
      <c r="N8" s="201">
        <v>0.6</v>
      </c>
      <c r="O8" s="183" t="s">
        <v>45</v>
      </c>
      <c r="P8" s="175">
        <v>44329.0</v>
      </c>
      <c r="Q8" s="184">
        <v>0.01</v>
      </c>
      <c r="R8" s="185">
        <f t="shared" si="2"/>
        <v>0.06</v>
      </c>
      <c r="S8" s="186">
        <f t="shared" si="3"/>
        <v>180</v>
      </c>
      <c r="T8" s="187">
        <f t="shared" si="4"/>
        <v>-3</v>
      </c>
      <c r="U8" s="188">
        <f t="shared" si="5"/>
        <v>177</v>
      </c>
      <c r="V8" s="189">
        <f t="shared" si="6"/>
        <v>0.01904761905</v>
      </c>
      <c r="W8" s="190" t="str">
        <f>IFERROR(__xludf.DUMMYFUNCTION("if(D8="""","""",SPLIT(INDEX(IMPORTHTML(concatenate(""https://finance.yahoo.com/quote/"",D8),""table"",2),6,2),"" ""))"),"#REF!")</f>
        <v>#REF!</v>
      </c>
      <c r="X8" s="191"/>
      <c r="Y8" s="189" t="str">
        <f t="shared" si="7"/>
        <v/>
      </c>
      <c r="Z8" s="191" t="str">
        <f t="shared" si="8"/>
        <v/>
      </c>
      <c r="AA8" s="191">
        <f t="shared" si="9"/>
        <v>2</v>
      </c>
      <c r="AB8" s="47"/>
      <c r="AC8" s="175">
        <v>44327.0</v>
      </c>
      <c r="AD8" s="176" t="s">
        <v>1</v>
      </c>
      <c r="AE8" s="202">
        <v>100.0</v>
      </c>
      <c r="AF8" s="203">
        <v>32.55</v>
      </c>
      <c r="AG8" s="204">
        <f t="shared" si="10"/>
        <v>3255</v>
      </c>
      <c r="AH8" s="205">
        <f t="shared" si="11"/>
        <v>52</v>
      </c>
      <c r="AI8" s="206"/>
      <c r="AJ8" s="180"/>
      <c r="AK8" s="204">
        <f>IFERROR(__xludf.DUMMYFUNCTION("if(AI8="""",(googlefinance(AD8,""price"")-AF8)*AE8,(AJ8-AF8)*AE8)"),-515.9999999999997)</f>
        <v>-516</v>
      </c>
      <c r="AL8" s="48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</row>
    <row r="9" ht="18.0" customHeight="1">
      <c r="A9" s="6"/>
      <c r="B9" s="175">
        <v>44327.0</v>
      </c>
      <c r="C9" s="176" t="s">
        <v>75</v>
      </c>
      <c r="D9" s="177" t="s">
        <v>78</v>
      </c>
      <c r="E9" s="178" t="s">
        <v>26</v>
      </c>
      <c r="F9" s="178" t="s">
        <v>27</v>
      </c>
      <c r="G9" s="175">
        <v>44337.0</v>
      </c>
      <c r="H9" s="179">
        <f>IFERROR(__xludf.DUMMYFUNCTION("GOOGLEFINANCE(D9,""price"")"),720.66)</f>
        <v>720.66</v>
      </c>
      <c r="I9" s="180">
        <v>380.0</v>
      </c>
      <c r="J9" s="181"/>
      <c r="K9" s="181"/>
      <c r="L9" s="181" t="str">
        <f t="shared" si="1"/>
        <v>Option Closed</v>
      </c>
      <c r="M9" s="182">
        <v>2.0</v>
      </c>
      <c r="N9" s="180">
        <v>0.65</v>
      </c>
      <c r="O9" s="183" t="s">
        <v>45</v>
      </c>
      <c r="P9" s="206">
        <v>44333.0</v>
      </c>
      <c r="Q9" s="184">
        <v>0.14</v>
      </c>
      <c r="R9" s="185">
        <f t="shared" si="2"/>
        <v>0.065</v>
      </c>
      <c r="S9" s="186">
        <f t="shared" si="3"/>
        <v>130</v>
      </c>
      <c r="T9" s="187">
        <f t="shared" si="4"/>
        <v>-28</v>
      </c>
      <c r="U9" s="188">
        <f t="shared" si="5"/>
        <v>102</v>
      </c>
      <c r="V9" s="189">
        <f t="shared" si="6"/>
        <v>0.001710526316</v>
      </c>
      <c r="W9" s="190" t="str">
        <f>IFERROR(__xludf.DUMMYFUNCTION("if(D9="""","""",SPLIT(INDEX(IMPORTHTML(concatenate(""https://finance.yahoo.com/quote/"",D9),""table"",2),6,2),"" ""))"),"#REF!")</f>
        <v>#REF!</v>
      </c>
      <c r="X9" s="191"/>
      <c r="Y9" s="189" t="str">
        <f t="shared" si="7"/>
        <v/>
      </c>
      <c r="Z9" s="191" t="str">
        <f t="shared" si="8"/>
        <v/>
      </c>
      <c r="AA9" s="191">
        <f t="shared" si="9"/>
        <v>6</v>
      </c>
      <c r="AB9" s="47"/>
      <c r="AC9" s="192">
        <v>44327.0</v>
      </c>
      <c r="AD9" s="207" t="s">
        <v>47</v>
      </c>
      <c r="AE9" s="194">
        <v>100.0</v>
      </c>
      <c r="AF9" s="208">
        <v>39.6</v>
      </c>
      <c r="AG9" s="196">
        <f t="shared" si="10"/>
        <v>3960</v>
      </c>
      <c r="AH9" s="197">
        <f t="shared" si="11"/>
        <v>195</v>
      </c>
      <c r="AI9" s="198">
        <v>44405.0</v>
      </c>
      <c r="AJ9" s="209">
        <v>40.5</v>
      </c>
      <c r="AK9" s="196">
        <f>IFERROR(__xludf.DUMMYFUNCTION("if(AI9="""",(googlefinance(AD9,""price"")-AF9)*AE9,(AJ9-AF9)*AE9)"),89.99999999999986)</f>
        <v>90</v>
      </c>
      <c r="AL9" s="72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</row>
    <row r="10" ht="18.0" customHeight="1">
      <c r="A10" s="6"/>
      <c r="B10" s="175">
        <v>44327.0</v>
      </c>
      <c r="C10" s="176" t="s">
        <v>75</v>
      </c>
      <c r="D10" s="177" t="s">
        <v>79</v>
      </c>
      <c r="E10" s="178" t="s">
        <v>26</v>
      </c>
      <c r="F10" s="178" t="s">
        <v>27</v>
      </c>
      <c r="G10" s="175">
        <v>44330.0</v>
      </c>
      <c r="H10" s="179">
        <f>IFERROR(__xludf.DUMMYFUNCTION("GOOGLEFINANCE(D10,""price"")"),5.55)</f>
        <v>5.55</v>
      </c>
      <c r="I10" s="180">
        <v>38.0</v>
      </c>
      <c r="J10" s="181"/>
      <c r="K10" s="181"/>
      <c r="L10" s="181" t="str">
        <f t="shared" si="1"/>
        <v>Option Closed</v>
      </c>
      <c r="M10" s="182">
        <v>1.0</v>
      </c>
      <c r="N10" s="180">
        <v>0.17</v>
      </c>
      <c r="O10" s="183" t="s">
        <v>45</v>
      </c>
      <c r="P10" s="175">
        <v>44329.0</v>
      </c>
      <c r="Q10" s="184">
        <v>0.01</v>
      </c>
      <c r="R10" s="185">
        <f t="shared" si="2"/>
        <v>0.017</v>
      </c>
      <c r="S10" s="186">
        <f t="shared" si="3"/>
        <v>17</v>
      </c>
      <c r="T10" s="187">
        <f t="shared" si="4"/>
        <v>-1</v>
      </c>
      <c r="U10" s="188">
        <f t="shared" si="5"/>
        <v>16</v>
      </c>
      <c r="V10" s="189">
        <f t="shared" si="6"/>
        <v>0.004473684211</v>
      </c>
      <c r="W10" s="190" t="str">
        <f>IFERROR(__xludf.DUMMYFUNCTION("if(D10="""","""",SPLIT(INDEX(IMPORTHTML(concatenate(""https://finance.yahoo.com/quote/"",D10),""table"",2),6,2),"" ""))"),"#REF!")</f>
        <v>#REF!</v>
      </c>
      <c r="X10" s="191"/>
      <c r="Y10" s="189" t="str">
        <f t="shared" si="7"/>
        <v/>
      </c>
      <c r="Z10" s="191" t="str">
        <f t="shared" si="8"/>
        <v/>
      </c>
      <c r="AA10" s="191">
        <f t="shared" si="9"/>
        <v>2</v>
      </c>
      <c r="AB10" s="47"/>
      <c r="AC10" s="192">
        <v>44327.0</v>
      </c>
      <c r="AD10" s="207" t="s">
        <v>46</v>
      </c>
      <c r="AE10" s="194">
        <v>100.0</v>
      </c>
      <c r="AF10" s="208">
        <v>55.03</v>
      </c>
      <c r="AG10" s="196">
        <v>5503.0</v>
      </c>
      <c r="AH10" s="197">
        <v>60.0</v>
      </c>
      <c r="AI10" s="198">
        <v>44351.0</v>
      </c>
      <c r="AJ10" s="209">
        <v>55.5</v>
      </c>
      <c r="AK10" s="196">
        <f>IFERROR(__xludf.DUMMYFUNCTION("if(AI10="""",(googlefinance(AD10,""price"")-AF10)*AE10,(AJ10-AF10)*AE10)"),46.999999999999886)</f>
        <v>47</v>
      </c>
      <c r="AL10" s="72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</row>
    <row r="11" ht="18.0" customHeight="1">
      <c r="A11" s="6"/>
      <c r="B11" s="175">
        <v>44327.0</v>
      </c>
      <c r="C11" s="176" t="s">
        <v>75</v>
      </c>
      <c r="D11" s="177" t="s">
        <v>47</v>
      </c>
      <c r="E11" s="178" t="s">
        <v>26</v>
      </c>
      <c r="F11" s="178" t="s">
        <v>27</v>
      </c>
      <c r="G11" s="175">
        <v>44330.0</v>
      </c>
      <c r="H11" s="179">
        <f>IFERROR(__xludf.DUMMYFUNCTION("GOOGLEFINANCE(D11,""price"")"),26.86)</f>
        <v>26.86</v>
      </c>
      <c r="I11" s="180">
        <v>41.0</v>
      </c>
      <c r="J11" s="181"/>
      <c r="K11" s="181"/>
      <c r="L11" s="181" t="str">
        <f t="shared" si="1"/>
        <v>Option Closed</v>
      </c>
      <c r="M11" s="182">
        <v>1.0</v>
      </c>
      <c r="N11" s="180">
        <v>0.09</v>
      </c>
      <c r="O11" s="183" t="s">
        <v>45</v>
      </c>
      <c r="P11" s="206">
        <v>44330.0</v>
      </c>
      <c r="Q11" s="184"/>
      <c r="R11" s="185">
        <f t="shared" si="2"/>
        <v>0.009</v>
      </c>
      <c r="S11" s="186">
        <f t="shared" si="3"/>
        <v>9</v>
      </c>
      <c r="T11" s="187">
        <f t="shared" si="4"/>
        <v>0</v>
      </c>
      <c r="U11" s="188">
        <f t="shared" si="5"/>
        <v>9</v>
      </c>
      <c r="V11" s="189">
        <f t="shared" si="6"/>
        <v>0.002195121951</v>
      </c>
      <c r="W11" s="190" t="str">
        <f>IFERROR(__xludf.DUMMYFUNCTION("if(D11="""","""",SPLIT(INDEX(IMPORTHTML(concatenate(""https://finance.yahoo.com/quote/"",D11),""table"",2),6,2),"" ""))"),"#REF!")</f>
        <v>#REF!</v>
      </c>
      <c r="X11" s="191"/>
      <c r="Y11" s="189" t="str">
        <f t="shared" si="7"/>
        <v/>
      </c>
      <c r="Z11" s="191" t="str">
        <f t="shared" si="8"/>
        <v/>
      </c>
      <c r="AA11" s="191">
        <f t="shared" si="9"/>
        <v>3</v>
      </c>
      <c r="AB11" s="47"/>
      <c r="AC11" s="192">
        <v>44330.0</v>
      </c>
      <c r="AD11" s="207" t="s">
        <v>76</v>
      </c>
      <c r="AE11" s="194">
        <v>200.0</v>
      </c>
      <c r="AF11" s="208">
        <v>103.0</v>
      </c>
      <c r="AG11" s="196">
        <v>20600.0</v>
      </c>
      <c r="AH11" s="197">
        <v>878.0</v>
      </c>
      <c r="AI11" s="198">
        <v>44358.0</v>
      </c>
      <c r="AJ11" s="209">
        <v>113.5</v>
      </c>
      <c r="AK11" s="196">
        <f>IFERROR(__xludf.DUMMYFUNCTION("if(AI11="""",(googlefinance(AD11,""price"")-AF11)*AE11,(AJ11-AF11)*AE11)"),2100.0)</f>
        <v>2100</v>
      </c>
      <c r="AL11" s="72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</row>
    <row r="12" ht="18.0" customHeight="1">
      <c r="A12" s="6"/>
      <c r="B12" s="175">
        <v>44327.0</v>
      </c>
      <c r="C12" s="176" t="s">
        <v>75</v>
      </c>
      <c r="D12" s="177" t="s">
        <v>46</v>
      </c>
      <c r="E12" s="178" t="s">
        <v>26</v>
      </c>
      <c r="F12" s="178" t="s">
        <v>27</v>
      </c>
      <c r="G12" s="175">
        <v>44330.0</v>
      </c>
      <c r="H12" s="179">
        <f>IFERROR(__xludf.DUMMYFUNCTION("GOOGLEFINANCE(D12,""price"")"),77.61)</f>
        <v>77.61</v>
      </c>
      <c r="I12" s="180">
        <v>55.5</v>
      </c>
      <c r="J12" s="181"/>
      <c r="K12" s="181"/>
      <c r="L12" s="181" t="str">
        <f t="shared" si="1"/>
        <v>Option Closed</v>
      </c>
      <c r="M12" s="182">
        <v>1.0</v>
      </c>
      <c r="N12" s="180">
        <v>0.12</v>
      </c>
      <c r="O12" s="183" t="s">
        <v>45</v>
      </c>
      <c r="P12" s="206">
        <v>44330.0</v>
      </c>
      <c r="Q12" s="184"/>
      <c r="R12" s="185">
        <f t="shared" si="2"/>
        <v>0.012</v>
      </c>
      <c r="S12" s="186">
        <f t="shared" si="3"/>
        <v>12</v>
      </c>
      <c r="T12" s="187">
        <f t="shared" si="4"/>
        <v>0</v>
      </c>
      <c r="U12" s="188">
        <f t="shared" si="5"/>
        <v>12</v>
      </c>
      <c r="V12" s="189">
        <f t="shared" si="6"/>
        <v>0.002162162162</v>
      </c>
      <c r="W12" s="190" t="str">
        <f>IFERROR(__xludf.DUMMYFUNCTION("if(D12="""","""",SPLIT(INDEX(IMPORTHTML(concatenate(""https://finance.yahoo.com/quote/"",D12),""table"",2),6,2),"" ""))"),"#REF!")</f>
        <v>#REF!</v>
      </c>
      <c r="X12" s="191"/>
      <c r="Y12" s="189" t="str">
        <f t="shared" si="7"/>
        <v/>
      </c>
      <c r="Z12" s="191" t="str">
        <f t="shared" si="8"/>
        <v/>
      </c>
      <c r="AA12" s="191">
        <f t="shared" si="9"/>
        <v>3</v>
      </c>
      <c r="AB12" s="47"/>
      <c r="AC12" s="198">
        <v>44337.0</v>
      </c>
      <c r="AD12" s="207" t="s">
        <v>80</v>
      </c>
      <c r="AE12" s="210">
        <v>100.0</v>
      </c>
      <c r="AF12" s="208">
        <v>62.0</v>
      </c>
      <c r="AG12" s="196">
        <v>6200.0</v>
      </c>
      <c r="AH12" s="197">
        <v>293.0</v>
      </c>
      <c r="AI12" s="198">
        <v>44344.0</v>
      </c>
      <c r="AJ12" s="209">
        <v>62.0</v>
      </c>
      <c r="AK12" s="211">
        <f>IFERROR(__xludf.DUMMYFUNCTION("if(AI12="""",(googlefinance(AD12,""price"")-AF12)*AE12,(AJ12-AF12)*AE12)"),0.0)</f>
        <v>0</v>
      </c>
      <c r="AL12" s="72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</row>
    <row r="13" ht="18.0" customHeight="1">
      <c r="A13" s="6"/>
      <c r="B13" s="175">
        <v>44327.0</v>
      </c>
      <c r="C13" s="176" t="s">
        <v>75</v>
      </c>
      <c r="D13" s="177" t="s">
        <v>44</v>
      </c>
      <c r="E13" s="178" t="s">
        <v>26</v>
      </c>
      <c r="F13" s="178" t="s">
        <v>27</v>
      </c>
      <c r="G13" s="175">
        <v>44330.0</v>
      </c>
      <c r="H13" s="179">
        <f>IFERROR(__xludf.DUMMYFUNCTION("GOOGLEFINANCE(D13,""price"")"),75.25)</f>
        <v>75.25</v>
      </c>
      <c r="I13" s="201">
        <v>47.0</v>
      </c>
      <c r="J13" s="181"/>
      <c r="K13" s="181"/>
      <c r="L13" s="181" t="str">
        <f t="shared" si="1"/>
        <v>Option Closed</v>
      </c>
      <c r="M13" s="182">
        <v>1.0</v>
      </c>
      <c r="N13" s="180">
        <v>0.28</v>
      </c>
      <c r="O13" s="183" t="s">
        <v>45</v>
      </c>
      <c r="P13" s="206">
        <v>44330.0</v>
      </c>
      <c r="Q13" s="184"/>
      <c r="R13" s="185">
        <f t="shared" si="2"/>
        <v>0.028</v>
      </c>
      <c r="S13" s="186">
        <f t="shared" si="3"/>
        <v>28</v>
      </c>
      <c r="T13" s="187">
        <f t="shared" si="4"/>
        <v>0</v>
      </c>
      <c r="U13" s="188">
        <f t="shared" si="5"/>
        <v>28</v>
      </c>
      <c r="V13" s="189">
        <f t="shared" si="6"/>
        <v>0.005957446809</v>
      </c>
      <c r="W13" s="190" t="str">
        <f>IFERROR(__xludf.DUMMYFUNCTION("if(D13="""","""",SPLIT(INDEX(IMPORTHTML(concatenate(""https://finance.yahoo.com/quote/"",D13),""table"",2),6,2),"" ""))"),"#REF!")</f>
        <v>#REF!</v>
      </c>
      <c r="X13" s="191"/>
      <c r="Y13" s="189" t="str">
        <f t="shared" si="7"/>
        <v/>
      </c>
      <c r="Z13" s="191" t="str">
        <f t="shared" si="8"/>
        <v/>
      </c>
      <c r="AA13" s="191">
        <f t="shared" si="9"/>
        <v>3</v>
      </c>
      <c r="AB13" s="47"/>
      <c r="AC13" s="198">
        <v>44330.0</v>
      </c>
      <c r="AD13" s="207" t="s">
        <v>77</v>
      </c>
      <c r="AE13" s="210">
        <v>300.0</v>
      </c>
      <c r="AF13" s="208">
        <v>23.0</v>
      </c>
      <c r="AG13" s="196">
        <f>AF13*AE13</f>
        <v>6900</v>
      </c>
      <c r="AH13" s="197">
        <f>sumif(D:D,AD13,U:U)</f>
        <v>5550</v>
      </c>
      <c r="AI13" s="198">
        <v>44428.0</v>
      </c>
      <c r="AJ13" s="209">
        <v>35.0</v>
      </c>
      <c r="AK13" s="196">
        <f>IFERROR(__xludf.DUMMYFUNCTION("if(AI13="""",(googlefinance(AD13,""price"")-AF13)*AE13,(AJ13-AF13)*AE13)"),3600.0)</f>
        <v>3600</v>
      </c>
      <c r="AL13" s="72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</row>
    <row r="14" ht="18.0" customHeight="1">
      <c r="A14" s="6"/>
      <c r="B14" s="175">
        <v>44327.0</v>
      </c>
      <c r="C14" s="176" t="s">
        <v>75</v>
      </c>
      <c r="D14" s="177" t="s">
        <v>1</v>
      </c>
      <c r="E14" s="178" t="s">
        <v>26</v>
      </c>
      <c r="F14" s="178" t="s">
        <v>27</v>
      </c>
      <c r="G14" s="175">
        <v>44330.0</v>
      </c>
      <c r="H14" s="179">
        <f>IFERROR(__xludf.DUMMYFUNCTION("GOOGLEFINANCE(D14,""price"")"),27.39)</f>
        <v>27.39</v>
      </c>
      <c r="I14" s="180">
        <v>33.0</v>
      </c>
      <c r="J14" s="181"/>
      <c r="K14" s="181"/>
      <c r="L14" s="181" t="str">
        <f t="shared" si="1"/>
        <v>Option Closed</v>
      </c>
      <c r="M14" s="182">
        <v>1.0</v>
      </c>
      <c r="N14" s="180">
        <v>0.07</v>
      </c>
      <c r="O14" s="183" t="s">
        <v>45</v>
      </c>
      <c r="P14" s="206">
        <v>44330.0</v>
      </c>
      <c r="Q14" s="184"/>
      <c r="R14" s="185">
        <f t="shared" si="2"/>
        <v>0.007</v>
      </c>
      <c r="S14" s="186">
        <f t="shared" si="3"/>
        <v>7</v>
      </c>
      <c r="T14" s="187">
        <f t="shared" si="4"/>
        <v>0</v>
      </c>
      <c r="U14" s="188">
        <f t="shared" si="5"/>
        <v>7</v>
      </c>
      <c r="V14" s="189">
        <f t="shared" si="6"/>
        <v>0.002121212121</v>
      </c>
      <c r="W14" s="190" t="str">
        <f>IFERROR(__xludf.DUMMYFUNCTION("if(D14="""","""",SPLIT(INDEX(IMPORTHTML(concatenate(""https://finance.yahoo.com/quote/"",D14),""table"",2),6,2),"" ""))"),"#REF!")</f>
        <v>#REF!</v>
      </c>
      <c r="X14" s="191"/>
      <c r="Y14" s="189" t="str">
        <f t="shared" si="7"/>
        <v/>
      </c>
      <c r="Z14" s="191" t="str">
        <f t="shared" si="8"/>
        <v/>
      </c>
      <c r="AA14" s="191">
        <f t="shared" si="9"/>
        <v>3</v>
      </c>
      <c r="AB14" s="47"/>
      <c r="AC14" s="198">
        <v>44330.0</v>
      </c>
      <c r="AD14" s="207" t="s">
        <v>79</v>
      </c>
      <c r="AE14" s="210">
        <v>100.0</v>
      </c>
      <c r="AF14" s="208">
        <v>40.0</v>
      </c>
      <c r="AG14" s="196">
        <v>4000.0</v>
      </c>
      <c r="AH14" s="197">
        <v>200.0</v>
      </c>
      <c r="AI14" s="198">
        <v>44358.0</v>
      </c>
      <c r="AJ14" s="209">
        <v>44.5</v>
      </c>
      <c r="AK14" s="211">
        <f>IFERROR(__xludf.DUMMYFUNCTION("if(AI14="""",(googlefinance(AD14,""price"")-AF14)*AE14,(AJ14-AF14)*AE14)"),450.0)</f>
        <v>450</v>
      </c>
      <c r="AL14" s="72"/>
      <c r="AM14" s="5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</row>
    <row r="15" ht="18.0" customHeight="1">
      <c r="A15" s="6"/>
      <c r="B15" s="175">
        <v>44328.0</v>
      </c>
      <c r="C15" s="176" t="s">
        <v>75</v>
      </c>
      <c r="D15" s="177" t="s">
        <v>81</v>
      </c>
      <c r="E15" s="178" t="s">
        <v>82</v>
      </c>
      <c r="F15" s="178" t="s">
        <v>27</v>
      </c>
      <c r="G15" s="175">
        <v>44330.0</v>
      </c>
      <c r="H15" s="179">
        <f>IFERROR(__xludf.DUMMYFUNCTION("GOOGLEFINANCE(D15,""price"")"),401.91)</f>
        <v>401.91</v>
      </c>
      <c r="I15" s="180">
        <v>237.5</v>
      </c>
      <c r="J15" s="181"/>
      <c r="K15" s="181"/>
      <c r="L15" s="181" t="str">
        <f t="shared" si="1"/>
        <v>Option Closed</v>
      </c>
      <c r="M15" s="182">
        <v>1.0</v>
      </c>
      <c r="N15" s="180">
        <v>0.8</v>
      </c>
      <c r="O15" s="183" t="s">
        <v>45</v>
      </c>
      <c r="P15" s="206">
        <v>44330.0</v>
      </c>
      <c r="Q15" s="184"/>
      <c r="R15" s="185">
        <f t="shared" si="2"/>
        <v>0.08</v>
      </c>
      <c r="S15" s="186">
        <f t="shared" si="3"/>
        <v>80</v>
      </c>
      <c r="T15" s="187">
        <f t="shared" si="4"/>
        <v>0</v>
      </c>
      <c r="U15" s="188">
        <f t="shared" si="5"/>
        <v>80</v>
      </c>
      <c r="V15" s="189">
        <f t="shared" si="6"/>
        <v>0.003368421053</v>
      </c>
      <c r="W15" s="190" t="str">
        <f>IFERROR(__xludf.DUMMYFUNCTION("if(D15="""","""",SPLIT(INDEX(IMPORTHTML(concatenate(""https://finance.yahoo.com/quote/"",D15),""table"",2),6,2),"" ""))"),"#REF!")</f>
        <v>#REF!</v>
      </c>
      <c r="X15" s="191"/>
      <c r="Y15" s="189" t="str">
        <f t="shared" si="7"/>
        <v/>
      </c>
      <c r="Z15" s="191" t="str">
        <f t="shared" si="8"/>
        <v/>
      </c>
      <c r="AA15" s="191">
        <f t="shared" si="9"/>
        <v>2</v>
      </c>
      <c r="AB15" s="70"/>
      <c r="AC15" s="198">
        <v>44358.0</v>
      </c>
      <c r="AD15" s="207" t="s">
        <v>76</v>
      </c>
      <c r="AE15" s="210">
        <v>200.0</v>
      </c>
      <c r="AF15" s="208">
        <v>115.1</v>
      </c>
      <c r="AG15" s="196">
        <f t="shared" ref="AG15:AG16" si="12">AF15*AE15</f>
        <v>23020</v>
      </c>
      <c r="AH15" s="197">
        <f t="shared" ref="AH15:AH16" si="13">sumif(D:D,AD15,U:U)</f>
        <v>4608</v>
      </c>
      <c r="AI15" s="198">
        <v>44400.0</v>
      </c>
      <c r="AJ15" s="209">
        <v>121.0</v>
      </c>
      <c r="AK15" s="211">
        <f>IFERROR(__xludf.DUMMYFUNCTION("if(AI15="""",(googlefinance(AD15,""price"")-AF15)*AE15,(AJ15-AF15)*AE15)"),1180.0000000000011)</f>
        <v>1180</v>
      </c>
      <c r="AL15" s="72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</row>
    <row r="16" ht="18.0" customHeight="1">
      <c r="A16" s="6"/>
      <c r="B16" s="175">
        <v>44329.0</v>
      </c>
      <c r="C16" s="176" t="s">
        <v>75</v>
      </c>
      <c r="D16" s="177" t="s">
        <v>76</v>
      </c>
      <c r="E16" s="178" t="s">
        <v>26</v>
      </c>
      <c r="F16" s="178" t="s">
        <v>27</v>
      </c>
      <c r="G16" s="175">
        <v>44330.0</v>
      </c>
      <c r="H16" s="179">
        <f>IFERROR(__xludf.DUMMYFUNCTION("GOOGLEFINANCE(D16,""price"")"),7.53)</f>
        <v>7.53</v>
      </c>
      <c r="I16" s="180">
        <v>103.0</v>
      </c>
      <c r="J16" s="181"/>
      <c r="K16" s="181"/>
      <c r="L16" s="181" t="str">
        <f t="shared" si="1"/>
        <v>Option Closed</v>
      </c>
      <c r="M16" s="182">
        <v>2.0</v>
      </c>
      <c r="N16" s="180">
        <v>0.3</v>
      </c>
      <c r="O16" s="183" t="s">
        <v>83</v>
      </c>
      <c r="P16" s="206">
        <v>44330.0</v>
      </c>
      <c r="Q16" s="184"/>
      <c r="R16" s="185">
        <f t="shared" si="2"/>
        <v>0.03</v>
      </c>
      <c r="S16" s="186">
        <f t="shared" si="3"/>
        <v>60</v>
      </c>
      <c r="T16" s="187">
        <f t="shared" si="4"/>
        <v>0</v>
      </c>
      <c r="U16" s="188">
        <f t="shared" si="5"/>
        <v>60</v>
      </c>
      <c r="V16" s="189">
        <f t="shared" si="6"/>
        <v>0.002912621359</v>
      </c>
      <c r="W16" s="190" t="str">
        <f>IFERROR(__xludf.DUMMYFUNCTION("if(D16="""","""",SPLIT(INDEX(IMPORTHTML(concatenate(""https://finance.yahoo.com/quote/"",D16),""table"",2),6,2),"" ""))"),"#REF!")</f>
        <v>#REF!</v>
      </c>
      <c r="X16" s="191"/>
      <c r="Y16" s="189" t="str">
        <f t="shared" si="7"/>
        <v/>
      </c>
      <c r="Z16" s="191" t="str">
        <f t="shared" si="8"/>
        <v/>
      </c>
      <c r="AA16" s="191">
        <f t="shared" si="9"/>
        <v>1</v>
      </c>
      <c r="AB16" s="70"/>
      <c r="AC16" s="206">
        <v>44358.0</v>
      </c>
      <c r="AD16" s="176" t="s">
        <v>79</v>
      </c>
      <c r="AE16" s="183">
        <v>200.0</v>
      </c>
      <c r="AF16" s="203">
        <v>44.0</v>
      </c>
      <c r="AG16" s="204">
        <f t="shared" si="12"/>
        <v>8800</v>
      </c>
      <c r="AH16" s="205">
        <f t="shared" si="13"/>
        <v>1886</v>
      </c>
      <c r="AI16" s="206"/>
      <c r="AJ16" s="201"/>
      <c r="AK16" s="204">
        <f>IFERROR(__xludf.DUMMYFUNCTION("if(AI16="""",(googlefinance(AD16,""price"")-AF16)*AE16,(AJ16-AF16)*AE16)"),-7690.000000000001)</f>
        <v>-7690</v>
      </c>
      <c r="AL16" s="72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</row>
    <row r="17" ht="18.0" customHeight="1">
      <c r="A17" s="6"/>
      <c r="B17" s="175">
        <v>44329.0</v>
      </c>
      <c r="C17" s="176" t="s">
        <v>75</v>
      </c>
      <c r="D17" s="177" t="s">
        <v>77</v>
      </c>
      <c r="E17" s="178" t="s">
        <v>26</v>
      </c>
      <c r="F17" s="178" t="s">
        <v>27</v>
      </c>
      <c r="G17" s="175">
        <v>44330.0</v>
      </c>
      <c r="H17" s="179">
        <f>IFERROR(__xludf.DUMMYFUNCTION("GOOGLEFINANCE(D17,""price"")"),8.76)</f>
        <v>8.76</v>
      </c>
      <c r="I17" s="180">
        <v>23.0</v>
      </c>
      <c r="J17" s="181"/>
      <c r="K17" s="181"/>
      <c r="L17" s="181" t="str">
        <f t="shared" si="1"/>
        <v>Option Closed</v>
      </c>
      <c r="M17" s="182">
        <v>3.0</v>
      </c>
      <c r="N17" s="201">
        <v>0.2</v>
      </c>
      <c r="O17" s="183" t="s">
        <v>83</v>
      </c>
      <c r="P17" s="206">
        <v>44330.0</v>
      </c>
      <c r="Q17" s="184"/>
      <c r="R17" s="185">
        <f t="shared" si="2"/>
        <v>0.02</v>
      </c>
      <c r="S17" s="186">
        <f t="shared" si="3"/>
        <v>60</v>
      </c>
      <c r="T17" s="187">
        <f t="shared" si="4"/>
        <v>0</v>
      </c>
      <c r="U17" s="188">
        <f t="shared" si="5"/>
        <v>60</v>
      </c>
      <c r="V17" s="189">
        <f t="shared" si="6"/>
        <v>0.008695652174</v>
      </c>
      <c r="W17" s="190" t="str">
        <f>IFERROR(__xludf.DUMMYFUNCTION("if(D17="""","""",SPLIT(INDEX(IMPORTHTML(concatenate(""https://finance.yahoo.com/quote/"",D17),""table"",2),6,2),"" ""))"),"#REF!")</f>
        <v>#REF!</v>
      </c>
      <c r="X17" s="191"/>
      <c r="Y17" s="189" t="str">
        <f t="shared" si="7"/>
        <v/>
      </c>
      <c r="Z17" s="191" t="str">
        <f t="shared" si="8"/>
        <v/>
      </c>
      <c r="AA17" s="191">
        <f t="shared" si="9"/>
        <v>1</v>
      </c>
      <c r="AB17" s="70"/>
      <c r="AC17" s="198">
        <v>44365.0</v>
      </c>
      <c r="AD17" s="207" t="s">
        <v>84</v>
      </c>
      <c r="AE17" s="210">
        <v>100.0</v>
      </c>
      <c r="AF17" s="208">
        <v>47.0</v>
      </c>
      <c r="AG17" s="196">
        <v>4700.0</v>
      </c>
      <c r="AH17" s="197">
        <v>141.0</v>
      </c>
      <c r="AI17" s="198">
        <v>44372.0</v>
      </c>
      <c r="AJ17" s="209">
        <v>51.0</v>
      </c>
      <c r="AK17" s="211">
        <f>IFERROR(__xludf.DUMMYFUNCTION("if(AI17="""",(googlefinance(AD17,""price"")-AF17)*AE17,(AJ17-AF17)*AE17)"),400.0)</f>
        <v>400</v>
      </c>
      <c r="AL17" s="72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</row>
    <row r="18" ht="18.0" customHeight="1">
      <c r="A18" s="6"/>
      <c r="B18" s="206">
        <v>44330.0</v>
      </c>
      <c r="C18" s="176" t="s">
        <v>75</v>
      </c>
      <c r="D18" s="177" t="s">
        <v>79</v>
      </c>
      <c r="E18" s="178" t="s">
        <v>26</v>
      </c>
      <c r="F18" s="178" t="s">
        <v>27</v>
      </c>
      <c r="G18" s="206">
        <v>44337.0</v>
      </c>
      <c r="H18" s="179">
        <f>IFERROR(__xludf.DUMMYFUNCTION("GOOGLEFINANCE(D18,""price"")"),5.55)</f>
        <v>5.55</v>
      </c>
      <c r="I18" s="201">
        <v>35.0</v>
      </c>
      <c r="J18" s="181"/>
      <c r="K18" s="181"/>
      <c r="L18" s="181" t="str">
        <f t="shared" si="1"/>
        <v>Option Closed</v>
      </c>
      <c r="M18" s="182">
        <v>1.0</v>
      </c>
      <c r="N18" s="201">
        <v>0.45</v>
      </c>
      <c r="O18" s="183" t="s">
        <v>45</v>
      </c>
      <c r="P18" s="206">
        <v>44336.0</v>
      </c>
      <c r="Q18" s="184">
        <v>0.2</v>
      </c>
      <c r="R18" s="185">
        <f t="shared" si="2"/>
        <v>0.045</v>
      </c>
      <c r="S18" s="186">
        <f t="shared" si="3"/>
        <v>45</v>
      </c>
      <c r="T18" s="187">
        <f t="shared" si="4"/>
        <v>-20</v>
      </c>
      <c r="U18" s="188">
        <f t="shared" si="5"/>
        <v>25</v>
      </c>
      <c r="V18" s="189">
        <f t="shared" si="6"/>
        <v>0.01285714286</v>
      </c>
      <c r="W18" s="190" t="str">
        <f>IFERROR(__xludf.DUMMYFUNCTION("if(D18="""","""",SPLIT(INDEX(IMPORTHTML(concatenate(""https://finance.yahoo.com/quote/"",D18),""table"",2),6,2),"" ""))"),"#REF!")</f>
        <v>#REF!</v>
      </c>
      <c r="X18" s="191"/>
      <c r="Y18" s="189" t="str">
        <f t="shared" si="7"/>
        <v/>
      </c>
      <c r="Z18" s="191" t="str">
        <f t="shared" si="8"/>
        <v/>
      </c>
      <c r="AA18" s="191">
        <f t="shared" si="9"/>
        <v>6</v>
      </c>
      <c r="AB18" s="70"/>
      <c r="AC18" s="198">
        <v>44400.0</v>
      </c>
      <c r="AD18" s="207" t="s">
        <v>76</v>
      </c>
      <c r="AE18" s="210">
        <v>200.0</v>
      </c>
      <c r="AF18" s="208">
        <v>122.0</v>
      </c>
      <c r="AG18" s="196">
        <f t="shared" ref="AG18:AG25" si="14">AF18*AE18</f>
        <v>24400</v>
      </c>
      <c r="AH18" s="197">
        <f t="shared" ref="AH18:AH25" si="15">sumif(D:D,AD18,U:U)</f>
        <v>4608</v>
      </c>
      <c r="AI18" s="198">
        <v>44435.0</v>
      </c>
      <c r="AJ18" s="209">
        <v>121.0</v>
      </c>
      <c r="AK18" s="211">
        <f>IFERROR(__xludf.DUMMYFUNCTION("if(AI18="""",(googlefinance(AD18,""price"")-AF18)*AE18,(AJ18-AF18)*AE18)"),-200.0)</f>
        <v>-200</v>
      </c>
      <c r="AL18" s="72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</row>
    <row r="19" ht="18.0" customHeight="1">
      <c r="A19" s="6"/>
      <c r="B19" s="206">
        <v>44333.0</v>
      </c>
      <c r="C19" s="176" t="s">
        <v>75</v>
      </c>
      <c r="D19" s="176" t="s">
        <v>85</v>
      </c>
      <c r="E19" s="176" t="s">
        <v>82</v>
      </c>
      <c r="F19" s="178" t="s">
        <v>27</v>
      </c>
      <c r="G19" s="206">
        <v>44337.0</v>
      </c>
      <c r="H19" s="179">
        <f>IFERROR(__xludf.DUMMYFUNCTION("GOOGLEFINANCE(D19,""price"")"),197.74)</f>
        <v>197.74</v>
      </c>
      <c r="I19" s="201">
        <v>72.5</v>
      </c>
      <c r="J19" s="181"/>
      <c r="K19" s="181"/>
      <c r="L19" s="181" t="str">
        <f t="shared" si="1"/>
        <v>Option Closed</v>
      </c>
      <c r="M19" s="182">
        <v>1.0</v>
      </c>
      <c r="N19" s="201">
        <v>0.7</v>
      </c>
      <c r="O19" s="183" t="s">
        <v>86</v>
      </c>
      <c r="P19" s="206">
        <v>44337.0</v>
      </c>
      <c r="Q19" s="184"/>
      <c r="R19" s="185">
        <f t="shared" si="2"/>
        <v>0.07</v>
      </c>
      <c r="S19" s="186">
        <f t="shared" si="3"/>
        <v>70</v>
      </c>
      <c r="T19" s="187">
        <f t="shared" si="4"/>
        <v>0</v>
      </c>
      <c r="U19" s="188">
        <f t="shared" si="5"/>
        <v>70</v>
      </c>
      <c r="V19" s="189">
        <f t="shared" si="6"/>
        <v>0.009655172414</v>
      </c>
      <c r="W19" s="190" t="str">
        <f>IFERROR(__xludf.DUMMYFUNCTION("if(D19="""","""",SPLIT(INDEX(IMPORTHTML(concatenate(""https://finance.yahoo.com/quote/"",D19),""table"",2),6,2),"" ""))"),"#REF!")</f>
        <v>#REF!</v>
      </c>
      <c r="X19" s="191"/>
      <c r="Y19" s="189" t="str">
        <f t="shared" si="7"/>
        <v/>
      </c>
      <c r="Z19" s="191" t="str">
        <f t="shared" si="8"/>
        <v/>
      </c>
      <c r="AA19" s="191">
        <f t="shared" si="9"/>
        <v>4</v>
      </c>
      <c r="AB19" s="70"/>
      <c r="AC19" s="198">
        <v>44400.0</v>
      </c>
      <c r="AD19" s="207" t="s">
        <v>87</v>
      </c>
      <c r="AE19" s="210">
        <v>100.0</v>
      </c>
      <c r="AF19" s="208">
        <v>145.0</v>
      </c>
      <c r="AG19" s="196">
        <f t="shared" si="14"/>
        <v>14500</v>
      </c>
      <c r="AH19" s="197">
        <f t="shared" si="15"/>
        <v>1090</v>
      </c>
      <c r="AI19" s="198">
        <v>44435.0</v>
      </c>
      <c r="AJ19" s="209">
        <v>148.0</v>
      </c>
      <c r="AK19" s="211">
        <f>IFERROR(__xludf.DUMMYFUNCTION("if(AI19="""",(googlefinance(AD19,""price"")-AF19)*AE19,(AJ19-AF19)*AE19)"),300.0)</f>
        <v>300</v>
      </c>
      <c r="AL19" s="72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</row>
    <row r="20" ht="18.0" customHeight="1">
      <c r="A20" s="6"/>
      <c r="B20" s="206">
        <v>44333.0</v>
      </c>
      <c r="C20" s="176" t="s">
        <v>75</v>
      </c>
      <c r="D20" s="176" t="s">
        <v>81</v>
      </c>
      <c r="E20" s="176" t="s">
        <v>82</v>
      </c>
      <c r="F20" s="178" t="s">
        <v>27</v>
      </c>
      <c r="G20" s="206">
        <v>44337.0</v>
      </c>
      <c r="H20" s="179">
        <f>IFERROR(__xludf.DUMMYFUNCTION("GOOGLEFINANCE(D20,""price"")"),401.91)</f>
        <v>401.91</v>
      </c>
      <c r="I20" s="201">
        <v>240.0</v>
      </c>
      <c r="J20" s="181"/>
      <c r="K20" s="181"/>
      <c r="L20" s="181" t="str">
        <f t="shared" si="1"/>
        <v>Option Closed</v>
      </c>
      <c r="M20" s="182">
        <v>1.0</v>
      </c>
      <c r="N20" s="201">
        <v>1.23</v>
      </c>
      <c r="O20" s="183" t="s">
        <v>86</v>
      </c>
      <c r="P20" s="206">
        <v>44337.0</v>
      </c>
      <c r="Q20" s="184"/>
      <c r="R20" s="185">
        <f t="shared" si="2"/>
        <v>0.123</v>
      </c>
      <c r="S20" s="186">
        <f t="shared" si="3"/>
        <v>123</v>
      </c>
      <c r="T20" s="187">
        <f t="shared" si="4"/>
        <v>0</v>
      </c>
      <c r="U20" s="188">
        <f t="shared" si="5"/>
        <v>123</v>
      </c>
      <c r="V20" s="189">
        <f t="shared" si="6"/>
        <v>0.005125</v>
      </c>
      <c r="W20" s="190" t="str">
        <f>IFERROR(__xludf.DUMMYFUNCTION("if(D20="""","""",SPLIT(INDEX(IMPORTHTML(concatenate(""https://finance.yahoo.com/quote/"",D20),""table"",2),6,2),"" ""))"),"#REF!")</f>
        <v>#REF!</v>
      </c>
      <c r="X20" s="191"/>
      <c r="Y20" s="189" t="str">
        <f t="shared" si="7"/>
        <v/>
      </c>
      <c r="Z20" s="191" t="str">
        <f t="shared" si="8"/>
        <v/>
      </c>
      <c r="AA20" s="191">
        <f t="shared" si="9"/>
        <v>4</v>
      </c>
      <c r="AB20" s="70"/>
      <c r="AC20" s="198">
        <v>44330.0</v>
      </c>
      <c r="AD20" s="207" t="s">
        <v>77</v>
      </c>
      <c r="AE20" s="210">
        <v>300.0</v>
      </c>
      <c r="AF20" s="208">
        <v>37.0</v>
      </c>
      <c r="AG20" s="196">
        <f t="shared" si="14"/>
        <v>11100</v>
      </c>
      <c r="AH20" s="197">
        <f t="shared" si="15"/>
        <v>5550</v>
      </c>
      <c r="AI20" s="198">
        <v>44491.0</v>
      </c>
      <c r="AJ20" s="209">
        <v>45.0</v>
      </c>
      <c r="AK20" s="211">
        <f>IFERROR(__xludf.DUMMYFUNCTION("if(AI20="""",(googlefinance(AD20,""price"")-AF20)*AE20,(AJ20-AF20)*AE20)"),2400.0)</f>
        <v>2400</v>
      </c>
      <c r="AL20" s="72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</row>
    <row r="21" ht="18.0" customHeight="1">
      <c r="A21" s="6"/>
      <c r="B21" s="206">
        <v>44333.0</v>
      </c>
      <c r="C21" s="176" t="s">
        <v>75</v>
      </c>
      <c r="D21" s="176" t="s">
        <v>77</v>
      </c>
      <c r="E21" s="176" t="s">
        <v>26</v>
      </c>
      <c r="F21" s="178" t="s">
        <v>27</v>
      </c>
      <c r="G21" s="206">
        <v>44337.0</v>
      </c>
      <c r="H21" s="179">
        <f>IFERROR(__xludf.DUMMYFUNCTION("GOOGLEFINANCE(D21,""price"")"),8.76)</f>
        <v>8.76</v>
      </c>
      <c r="I21" s="201">
        <v>24.0</v>
      </c>
      <c r="J21" s="181"/>
      <c r="K21" s="181"/>
      <c r="L21" s="181" t="str">
        <f t="shared" si="1"/>
        <v>Option Closed</v>
      </c>
      <c r="M21" s="212">
        <v>3.0</v>
      </c>
      <c r="N21" s="201">
        <v>0.46</v>
      </c>
      <c r="O21" s="183" t="s">
        <v>45</v>
      </c>
      <c r="P21" s="206">
        <v>44337.0</v>
      </c>
      <c r="Q21" s="184">
        <v>0.1</v>
      </c>
      <c r="R21" s="185">
        <f t="shared" si="2"/>
        <v>0.046</v>
      </c>
      <c r="S21" s="186">
        <f t="shared" si="3"/>
        <v>138</v>
      </c>
      <c r="T21" s="187">
        <f t="shared" si="4"/>
        <v>-30</v>
      </c>
      <c r="U21" s="188">
        <f t="shared" si="5"/>
        <v>108</v>
      </c>
      <c r="V21" s="189">
        <f t="shared" si="6"/>
        <v>0.01916666667</v>
      </c>
      <c r="W21" s="190" t="str">
        <f>IFERROR(__xludf.DUMMYFUNCTION("if(D21="""","""",SPLIT(INDEX(IMPORTHTML(concatenate(""https://finance.yahoo.com/quote/"",D21),""table"",2),6,2),"" ""))"),"#REF!")</f>
        <v>#REF!</v>
      </c>
      <c r="X21" s="191"/>
      <c r="Y21" s="189" t="str">
        <f t="shared" si="7"/>
        <v/>
      </c>
      <c r="Z21" s="191" t="str">
        <f t="shared" si="8"/>
        <v/>
      </c>
      <c r="AA21" s="191">
        <f t="shared" si="9"/>
        <v>4</v>
      </c>
      <c r="AB21" s="70"/>
      <c r="AC21" s="198">
        <v>44400.0</v>
      </c>
      <c r="AD21" s="207" t="s">
        <v>76</v>
      </c>
      <c r="AE21" s="210">
        <v>200.0</v>
      </c>
      <c r="AF21" s="208">
        <v>122.0</v>
      </c>
      <c r="AG21" s="196">
        <f t="shared" si="14"/>
        <v>24400</v>
      </c>
      <c r="AH21" s="197">
        <f t="shared" si="15"/>
        <v>4608</v>
      </c>
      <c r="AI21" s="198">
        <v>44442.0</v>
      </c>
      <c r="AJ21" s="209">
        <v>125.0</v>
      </c>
      <c r="AK21" s="211">
        <f>IFERROR(__xludf.DUMMYFUNCTION("if(AI21="""",(googlefinance(AD21,""price"")-AF21)*AE21,(AJ21-AF21)*AE21)"),600.0)</f>
        <v>600</v>
      </c>
      <c r="AL21" s="72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</row>
    <row r="22" ht="18.0" customHeight="1">
      <c r="A22" s="6"/>
      <c r="B22" s="206">
        <v>44333.0</v>
      </c>
      <c r="C22" s="176" t="s">
        <v>75</v>
      </c>
      <c r="D22" s="176" t="s">
        <v>76</v>
      </c>
      <c r="E22" s="176" t="s">
        <v>26</v>
      </c>
      <c r="F22" s="178" t="s">
        <v>27</v>
      </c>
      <c r="G22" s="206">
        <v>44337.0</v>
      </c>
      <c r="H22" s="179">
        <f>IFERROR(__xludf.DUMMYFUNCTION("GOOGLEFINANCE(D22,""price"")"),7.53)</f>
        <v>7.53</v>
      </c>
      <c r="I22" s="201">
        <v>109.0</v>
      </c>
      <c r="J22" s="181"/>
      <c r="K22" s="181"/>
      <c r="L22" s="181" t="str">
        <f t="shared" si="1"/>
        <v>Option Closed</v>
      </c>
      <c r="M22" s="212">
        <v>2.0</v>
      </c>
      <c r="N22" s="201">
        <v>0.84</v>
      </c>
      <c r="O22" s="183" t="s">
        <v>86</v>
      </c>
      <c r="P22" s="206">
        <v>44337.0</v>
      </c>
      <c r="Q22" s="184"/>
      <c r="R22" s="185">
        <f t="shared" si="2"/>
        <v>0.084</v>
      </c>
      <c r="S22" s="186">
        <f t="shared" si="3"/>
        <v>168</v>
      </c>
      <c r="T22" s="187">
        <f t="shared" si="4"/>
        <v>0</v>
      </c>
      <c r="U22" s="188">
        <f t="shared" si="5"/>
        <v>168</v>
      </c>
      <c r="V22" s="189">
        <f t="shared" si="6"/>
        <v>0.007706422018</v>
      </c>
      <c r="W22" s="190" t="str">
        <f>IFERROR(__xludf.DUMMYFUNCTION("if(D22="""","""",SPLIT(INDEX(IMPORTHTML(concatenate(""https://finance.yahoo.com/quote/"",D22),""table"",2),6,2),"" ""))"),"#REF!")</f>
        <v>#REF!</v>
      </c>
      <c r="X22" s="191"/>
      <c r="Y22" s="189" t="str">
        <f t="shared" si="7"/>
        <v/>
      </c>
      <c r="Z22" s="191" t="str">
        <f t="shared" si="8"/>
        <v/>
      </c>
      <c r="AA22" s="191">
        <f t="shared" si="9"/>
        <v>4</v>
      </c>
      <c r="AB22" s="70"/>
      <c r="AC22" s="198">
        <v>44446.0</v>
      </c>
      <c r="AD22" s="207" t="s">
        <v>76</v>
      </c>
      <c r="AE22" s="210">
        <v>200.0</v>
      </c>
      <c r="AF22" s="208">
        <v>125.0</v>
      </c>
      <c r="AG22" s="196">
        <f t="shared" si="14"/>
        <v>25000</v>
      </c>
      <c r="AH22" s="197">
        <f t="shared" si="15"/>
        <v>4608</v>
      </c>
      <c r="AI22" s="198">
        <v>44498.0</v>
      </c>
      <c r="AJ22" s="209">
        <v>121.0</v>
      </c>
      <c r="AK22" s="211">
        <f>IFERROR(__xludf.DUMMYFUNCTION("if(AI22="""",(googlefinance(AD22,""price"")-AF22)*AE22,(AJ22-AF22)*AE22)"),-800.0)</f>
        <v>-800</v>
      </c>
      <c r="AL22" s="72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</row>
    <row r="23" ht="18.0" customHeight="1">
      <c r="A23" s="6"/>
      <c r="B23" s="206">
        <v>44333.0</v>
      </c>
      <c r="C23" s="176" t="s">
        <v>75</v>
      </c>
      <c r="D23" s="176" t="s">
        <v>44</v>
      </c>
      <c r="E23" s="176" t="s">
        <v>26</v>
      </c>
      <c r="F23" s="178" t="s">
        <v>27</v>
      </c>
      <c r="G23" s="206">
        <v>44337.0</v>
      </c>
      <c r="H23" s="179">
        <f>IFERROR(__xludf.DUMMYFUNCTION("GOOGLEFINANCE(D23,""price"")"),75.25)</f>
        <v>75.25</v>
      </c>
      <c r="I23" s="201">
        <v>48.0</v>
      </c>
      <c r="J23" s="181"/>
      <c r="K23" s="181"/>
      <c r="L23" s="181" t="str">
        <f t="shared" si="1"/>
        <v>Option Closed</v>
      </c>
      <c r="M23" s="212">
        <v>1.0</v>
      </c>
      <c r="N23" s="201">
        <v>0.32</v>
      </c>
      <c r="O23" s="183" t="s">
        <v>86</v>
      </c>
      <c r="P23" s="206">
        <v>44337.0</v>
      </c>
      <c r="Q23" s="184"/>
      <c r="R23" s="185">
        <f t="shared" si="2"/>
        <v>0.032</v>
      </c>
      <c r="S23" s="186">
        <f t="shared" si="3"/>
        <v>32</v>
      </c>
      <c r="T23" s="187">
        <f t="shared" si="4"/>
        <v>0</v>
      </c>
      <c r="U23" s="188">
        <f t="shared" si="5"/>
        <v>32</v>
      </c>
      <c r="V23" s="189">
        <f t="shared" si="6"/>
        <v>0.006666666667</v>
      </c>
      <c r="W23" s="190" t="str">
        <f>IFERROR(__xludf.DUMMYFUNCTION("if(D23="""","""",SPLIT(INDEX(IMPORTHTML(concatenate(""https://finance.yahoo.com/quote/"",D23),""table"",2),6,2),"" ""))"),"#REF!")</f>
        <v>#REF!</v>
      </c>
      <c r="X23" s="191"/>
      <c r="Y23" s="189" t="str">
        <f t="shared" si="7"/>
        <v/>
      </c>
      <c r="Z23" s="191" t="str">
        <f t="shared" si="8"/>
        <v/>
      </c>
      <c r="AA23" s="191">
        <f t="shared" si="9"/>
        <v>4</v>
      </c>
      <c r="AB23" s="70"/>
      <c r="AC23" s="206">
        <v>44459.0</v>
      </c>
      <c r="AD23" s="176" t="s">
        <v>84</v>
      </c>
      <c r="AE23" s="183">
        <v>100.0</v>
      </c>
      <c r="AF23" s="203">
        <v>61.0</v>
      </c>
      <c r="AG23" s="204">
        <f t="shared" si="14"/>
        <v>6100</v>
      </c>
      <c r="AH23" s="205">
        <f t="shared" si="15"/>
        <v>687</v>
      </c>
      <c r="AI23" s="206"/>
      <c r="AJ23" s="201"/>
      <c r="AK23" s="213">
        <f>IFERROR(__xludf.DUMMYFUNCTION("if(AI23="""",(googlefinance(AD23,""price"")-AF23)*AE23,(AJ23-AF23)*AE23)"),-3546.0)</f>
        <v>-3546</v>
      </c>
      <c r="AL23" s="72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</row>
    <row r="24" ht="18.0" customHeight="1">
      <c r="A24" s="6"/>
      <c r="B24" s="206">
        <v>44333.0</v>
      </c>
      <c r="C24" s="176" t="s">
        <v>75</v>
      </c>
      <c r="D24" s="176" t="s">
        <v>1</v>
      </c>
      <c r="E24" s="176" t="s">
        <v>26</v>
      </c>
      <c r="F24" s="178" t="s">
        <v>27</v>
      </c>
      <c r="G24" s="206">
        <v>44337.0</v>
      </c>
      <c r="H24" s="179">
        <f>IFERROR(__xludf.DUMMYFUNCTION("GOOGLEFINANCE(D24,""price"")"),27.39)</f>
        <v>27.39</v>
      </c>
      <c r="I24" s="201">
        <v>34.0</v>
      </c>
      <c r="J24" s="181"/>
      <c r="K24" s="181"/>
      <c r="L24" s="181" t="str">
        <f t="shared" si="1"/>
        <v>Option Closed</v>
      </c>
      <c r="M24" s="212">
        <v>1.0</v>
      </c>
      <c r="N24" s="201">
        <v>0.25</v>
      </c>
      <c r="O24" s="183" t="s">
        <v>45</v>
      </c>
      <c r="P24" s="206">
        <v>44334.0</v>
      </c>
      <c r="Q24" s="184">
        <v>0.01</v>
      </c>
      <c r="R24" s="185">
        <f t="shared" si="2"/>
        <v>0.025</v>
      </c>
      <c r="S24" s="186">
        <f t="shared" si="3"/>
        <v>25</v>
      </c>
      <c r="T24" s="187">
        <f t="shared" si="4"/>
        <v>-1</v>
      </c>
      <c r="U24" s="188">
        <f t="shared" si="5"/>
        <v>24</v>
      </c>
      <c r="V24" s="189">
        <f t="shared" si="6"/>
        <v>0.007352941176</v>
      </c>
      <c r="W24" s="190" t="str">
        <f>IFERROR(__xludf.DUMMYFUNCTION("if(D24="""","""",SPLIT(INDEX(IMPORTHTML(concatenate(""https://finance.yahoo.com/quote/"",D24),""table"",2),6,2),"" ""))"),"#REF!")</f>
        <v>#REF!</v>
      </c>
      <c r="X24" s="191"/>
      <c r="Y24" s="189" t="str">
        <f t="shared" si="7"/>
        <v/>
      </c>
      <c r="Z24" s="191" t="str">
        <f t="shared" si="8"/>
        <v/>
      </c>
      <c r="AA24" s="191">
        <f t="shared" si="9"/>
        <v>1</v>
      </c>
      <c r="AB24" s="70"/>
      <c r="AC24" s="206">
        <v>44459.0</v>
      </c>
      <c r="AD24" s="176" t="s">
        <v>76</v>
      </c>
      <c r="AE24" s="183">
        <v>200.0</v>
      </c>
      <c r="AF24" s="203">
        <v>123.0</v>
      </c>
      <c r="AG24" s="204">
        <f t="shared" si="14"/>
        <v>24600</v>
      </c>
      <c r="AH24" s="205">
        <f t="shared" si="15"/>
        <v>4608</v>
      </c>
      <c r="AI24" s="206"/>
      <c r="AJ24" s="201"/>
      <c r="AK24" s="213">
        <f>IFERROR(__xludf.DUMMYFUNCTION("if(AI24="""",(googlefinance(AD24,""price"")-AF24)*AE24,(AJ24-AF24)*AE24)"),-23094.0)</f>
        <v>-23094</v>
      </c>
      <c r="AL24" s="72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</row>
    <row r="25" ht="18.0" customHeight="1">
      <c r="A25" s="6"/>
      <c r="B25" s="206">
        <v>44333.0</v>
      </c>
      <c r="C25" s="176" t="s">
        <v>75</v>
      </c>
      <c r="D25" s="176" t="s">
        <v>47</v>
      </c>
      <c r="E25" s="176" t="s">
        <v>26</v>
      </c>
      <c r="F25" s="178" t="s">
        <v>27</v>
      </c>
      <c r="G25" s="206">
        <v>44337.0</v>
      </c>
      <c r="H25" s="179">
        <f>IFERROR(__xludf.DUMMYFUNCTION("GOOGLEFINANCE(D25,""price"")"),26.86)</f>
        <v>26.86</v>
      </c>
      <c r="I25" s="201">
        <v>40.5</v>
      </c>
      <c r="J25" s="181"/>
      <c r="K25" s="181"/>
      <c r="L25" s="181" t="str">
        <f t="shared" si="1"/>
        <v>Option Closed</v>
      </c>
      <c r="M25" s="212">
        <v>1.0</v>
      </c>
      <c r="N25" s="201">
        <v>0.25</v>
      </c>
      <c r="O25" s="183" t="s">
        <v>86</v>
      </c>
      <c r="P25" s="206">
        <v>44337.0</v>
      </c>
      <c r="Q25" s="184"/>
      <c r="R25" s="185">
        <f t="shared" si="2"/>
        <v>0.025</v>
      </c>
      <c r="S25" s="186">
        <f t="shared" si="3"/>
        <v>25</v>
      </c>
      <c r="T25" s="187">
        <f t="shared" si="4"/>
        <v>0</v>
      </c>
      <c r="U25" s="188">
        <f t="shared" si="5"/>
        <v>25</v>
      </c>
      <c r="V25" s="189">
        <f t="shared" si="6"/>
        <v>0.006172839506</v>
      </c>
      <c r="W25" s="190" t="str">
        <f>IFERROR(__xludf.DUMMYFUNCTION("if(D25="""","""",SPLIT(INDEX(IMPORTHTML(concatenate(""https://finance.yahoo.com/quote/"",D25),""table"",2),6,2),"" ""))"),"#REF!")</f>
        <v>#REF!</v>
      </c>
      <c r="X25" s="191"/>
      <c r="Y25" s="189" t="str">
        <f t="shared" si="7"/>
        <v/>
      </c>
      <c r="Z25" s="191" t="str">
        <f t="shared" si="8"/>
        <v/>
      </c>
      <c r="AA25" s="191">
        <f t="shared" si="9"/>
        <v>4</v>
      </c>
      <c r="AB25" s="70"/>
      <c r="AC25" s="206">
        <v>44512.0</v>
      </c>
      <c r="AD25" s="176" t="s">
        <v>88</v>
      </c>
      <c r="AE25" s="183">
        <v>300.0</v>
      </c>
      <c r="AF25" s="203">
        <v>151.0</v>
      </c>
      <c r="AG25" s="204">
        <f t="shared" si="14"/>
        <v>45300</v>
      </c>
      <c r="AH25" s="205">
        <f t="shared" si="15"/>
        <v>6521</v>
      </c>
      <c r="AI25" s="206"/>
      <c r="AJ25" s="201"/>
      <c r="AK25" s="213">
        <f>IFERROR(__xludf.DUMMYFUNCTION("if(AI25="""",(googlefinance(AD25,""price"")-AF25)*AE25,(AJ25-AF25)*AE25)"),-31251.0)</f>
        <v>-31251</v>
      </c>
      <c r="AL25" s="72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</row>
    <row r="26" ht="18.0" customHeight="1">
      <c r="A26" s="6"/>
      <c r="B26" s="206">
        <v>44333.0</v>
      </c>
      <c r="C26" s="176" t="s">
        <v>75</v>
      </c>
      <c r="D26" s="176" t="s">
        <v>46</v>
      </c>
      <c r="E26" s="176" t="s">
        <v>26</v>
      </c>
      <c r="F26" s="178" t="s">
        <v>27</v>
      </c>
      <c r="G26" s="206">
        <v>44337.0</v>
      </c>
      <c r="H26" s="179">
        <f>IFERROR(__xludf.DUMMYFUNCTION("GOOGLEFINANCE(D26,""price"")"),77.61)</f>
        <v>77.61</v>
      </c>
      <c r="I26" s="201">
        <v>55.5</v>
      </c>
      <c r="J26" s="181"/>
      <c r="K26" s="181"/>
      <c r="L26" s="181" t="str">
        <f t="shared" si="1"/>
        <v>Option Closed</v>
      </c>
      <c r="M26" s="212">
        <v>1.0</v>
      </c>
      <c r="N26" s="201">
        <v>0.2</v>
      </c>
      <c r="O26" s="183" t="s">
        <v>86</v>
      </c>
      <c r="P26" s="206">
        <v>44337.0</v>
      </c>
      <c r="Q26" s="184"/>
      <c r="R26" s="185">
        <f t="shared" si="2"/>
        <v>0.02</v>
      </c>
      <c r="S26" s="186">
        <f t="shared" si="3"/>
        <v>20</v>
      </c>
      <c r="T26" s="187">
        <f t="shared" si="4"/>
        <v>0</v>
      </c>
      <c r="U26" s="188">
        <f t="shared" si="5"/>
        <v>20</v>
      </c>
      <c r="V26" s="189">
        <f t="shared" si="6"/>
        <v>0.003603603604</v>
      </c>
      <c r="W26" s="190" t="str">
        <f>IFERROR(__xludf.DUMMYFUNCTION("if(D26="""","""",SPLIT(INDEX(IMPORTHTML(concatenate(""https://finance.yahoo.com/quote/"",D26),""table"",2),6,2),"" ""))"),"#REF!")</f>
        <v>#REF!</v>
      </c>
      <c r="X26" s="191"/>
      <c r="Y26" s="189" t="str">
        <f t="shared" si="7"/>
        <v/>
      </c>
      <c r="Z26" s="191" t="str">
        <f t="shared" si="8"/>
        <v/>
      </c>
      <c r="AA26" s="191">
        <f t="shared" si="9"/>
        <v>4</v>
      </c>
      <c r="AB26" s="70"/>
      <c r="AC26" s="175"/>
      <c r="AD26" s="177"/>
      <c r="AE26" s="175"/>
      <c r="AF26" s="180"/>
      <c r="AG26" s="180"/>
      <c r="AH26" s="180"/>
      <c r="AI26" s="180"/>
      <c r="AJ26" s="180"/>
      <c r="AK26" s="180" t="str">
        <f t="shared" ref="AK26:AK30" si="16">IF(AE26="","",(AE26*AF26)*-1)</f>
        <v/>
      </c>
      <c r="AL26" s="72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</row>
    <row r="27" ht="18.0" customHeight="1">
      <c r="A27" s="6"/>
      <c r="B27" s="206">
        <v>44333.0</v>
      </c>
      <c r="C27" s="176" t="s">
        <v>75</v>
      </c>
      <c r="D27" s="176" t="s">
        <v>89</v>
      </c>
      <c r="E27" s="176" t="s">
        <v>90</v>
      </c>
      <c r="F27" s="178" t="s">
        <v>27</v>
      </c>
      <c r="G27" s="206">
        <v>44337.0</v>
      </c>
      <c r="H27" s="179">
        <f>IFERROR(__xludf.DUMMYFUNCTION("GOOGLEFINANCE(D27,""price"")"),255.76)</f>
        <v>255.76</v>
      </c>
      <c r="I27" s="201">
        <v>123.0</v>
      </c>
      <c r="J27" s="181"/>
      <c r="K27" s="181"/>
      <c r="L27" s="181" t="str">
        <f t="shared" si="1"/>
        <v>Option Closed</v>
      </c>
      <c r="M27" s="212">
        <v>1.0</v>
      </c>
      <c r="N27" s="201">
        <v>0.69</v>
      </c>
      <c r="O27" s="183" t="s">
        <v>86</v>
      </c>
      <c r="P27" s="206">
        <v>44337.0</v>
      </c>
      <c r="Q27" s="184"/>
      <c r="R27" s="185">
        <f t="shared" si="2"/>
        <v>0.069</v>
      </c>
      <c r="S27" s="186">
        <f t="shared" si="3"/>
        <v>69</v>
      </c>
      <c r="T27" s="187">
        <f t="shared" si="4"/>
        <v>0</v>
      </c>
      <c r="U27" s="188">
        <f t="shared" si="5"/>
        <v>69</v>
      </c>
      <c r="V27" s="189">
        <f t="shared" si="6"/>
        <v>0.005609756098</v>
      </c>
      <c r="W27" s="190" t="str">
        <f>IFERROR(__xludf.DUMMYFUNCTION("if(D27="""","""",SPLIT(INDEX(IMPORTHTML(concatenate(""https://finance.yahoo.com/quote/"",D27),""table"",2),6,2),"" ""))"),"#REF!")</f>
        <v>#REF!</v>
      </c>
      <c r="X27" s="191"/>
      <c r="Y27" s="189" t="str">
        <f t="shared" si="7"/>
        <v/>
      </c>
      <c r="Z27" s="191" t="str">
        <f t="shared" si="8"/>
        <v/>
      </c>
      <c r="AA27" s="191">
        <f t="shared" si="9"/>
        <v>4</v>
      </c>
      <c r="AB27" s="70"/>
      <c r="AC27" s="175"/>
      <c r="AD27" s="177"/>
      <c r="AE27" s="175"/>
      <c r="AF27" s="180"/>
      <c r="AG27" s="180"/>
      <c r="AH27" s="180"/>
      <c r="AI27" s="180"/>
      <c r="AJ27" s="180"/>
      <c r="AK27" s="180" t="str">
        <f t="shared" si="16"/>
        <v/>
      </c>
      <c r="AL27" s="72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</row>
    <row r="28" ht="18.0" customHeight="1">
      <c r="A28" s="6"/>
      <c r="B28" s="206">
        <v>44333.0</v>
      </c>
      <c r="C28" s="176" t="s">
        <v>75</v>
      </c>
      <c r="D28" s="176" t="s">
        <v>80</v>
      </c>
      <c r="E28" s="176" t="s">
        <v>90</v>
      </c>
      <c r="F28" s="178" t="s">
        <v>27</v>
      </c>
      <c r="G28" s="206">
        <v>44337.0</v>
      </c>
      <c r="H28" s="179">
        <f>IFERROR(__xludf.DUMMYFUNCTION("GOOGLEFINANCE(D28,""price"")"),0.84)</f>
        <v>0.84</v>
      </c>
      <c r="I28" s="201">
        <v>62.0</v>
      </c>
      <c r="J28" s="181"/>
      <c r="K28" s="181"/>
      <c r="L28" s="181" t="str">
        <f t="shared" si="1"/>
        <v>Option Closed</v>
      </c>
      <c r="M28" s="212">
        <v>1.0</v>
      </c>
      <c r="N28" s="201">
        <v>1.4</v>
      </c>
      <c r="O28" s="183" t="s">
        <v>83</v>
      </c>
      <c r="P28" s="206">
        <v>44337.0</v>
      </c>
      <c r="Q28" s="184"/>
      <c r="R28" s="185">
        <f t="shared" si="2"/>
        <v>0.14</v>
      </c>
      <c r="S28" s="186">
        <f t="shared" si="3"/>
        <v>140</v>
      </c>
      <c r="T28" s="187">
        <f t="shared" si="4"/>
        <v>0</v>
      </c>
      <c r="U28" s="188">
        <f t="shared" si="5"/>
        <v>140</v>
      </c>
      <c r="V28" s="189">
        <f t="shared" si="6"/>
        <v>0.02258064516</v>
      </c>
      <c r="W28" s="190" t="str">
        <f>IFERROR(__xludf.DUMMYFUNCTION("if(D28="""","""",SPLIT(INDEX(IMPORTHTML(concatenate(""https://finance.yahoo.com/quote/"",D28),""table"",2),6,2),"" ""))"),"#REF!")</f>
        <v>#REF!</v>
      </c>
      <c r="X28" s="191"/>
      <c r="Y28" s="189" t="str">
        <f t="shared" si="7"/>
        <v/>
      </c>
      <c r="Z28" s="191" t="str">
        <f t="shared" si="8"/>
        <v/>
      </c>
      <c r="AA28" s="191">
        <f t="shared" si="9"/>
        <v>4</v>
      </c>
      <c r="AB28" s="70"/>
      <c r="AC28" s="175"/>
      <c r="AD28" s="177"/>
      <c r="AE28" s="175"/>
      <c r="AF28" s="180"/>
      <c r="AG28" s="180"/>
      <c r="AH28" s="180"/>
      <c r="AI28" s="180"/>
      <c r="AJ28" s="180"/>
      <c r="AK28" s="180" t="str">
        <f t="shared" si="16"/>
        <v/>
      </c>
      <c r="AL28" s="72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</row>
    <row r="29" ht="18.0" customHeight="1">
      <c r="A29" s="6"/>
      <c r="B29" s="206">
        <v>44334.0</v>
      </c>
      <c r="C29" s="176" t="s">
        <v>75</v>
      </c>
      <c r="D29" s="176" t="s">
        <v>1</v>
      </c>
      <c r="E29" s="176" t="s">
        <v>26</v>
      </c>
      <c r="F29" s="178" t="s">
        <v>27</v>
      </c>
      <c r="G29" s="206">
        <v>44337.0</v>
      </c>
      <c r="H29" s="179">
        <f>IFERROR(__xludf.DUMMYFUNCTION("GOOGLEFINANCE(D29,""price"")"),27.39)</f>
        <v>27.39</v>
      </c>
      <c r="I29" s="201">
        <v>31.0</v>
      </c>
      <c r="J29" s="181"/>
      <c r="K29" s="181"/>
      <c r="L29" s="181" t="str">
        <f t="shared" si="1"/>
        <v>Option Closed</v>
      </c>
      <c r="M29" s="212">
        <v>1.0</v>
      </c>
      <c r="N29" s="201">
        <v>0.16</v>
      </c>
      <c r="O29" s="183" t="s">
        <v>86</v>
      </c>
      <c r="P29" s="206">
        <v>44337.0</v>
      </c>
      <c r="Q29" s="184"/>
      <c r="R29" s="185">
        <f t="shared" si="2"/>
        <v>0.016</v>
      </c>
      <c r="S29" s="186">
        <f t="shared" si="3"/>
        <v>16</v>
      </c>
      <c r="T29" s="187">
        <f t="shared" si="4"/>
        <v>0</v>
      </c>
      <c r="U29" s="188">
        <f t="shared" si="5"/>
        <v>16</v>
      </c>
      <c r="V29" s="189">
        <f t="shared" si="6"/>
        <v>0.005161290323</v>
      </c>
      <c r="W29" s="190" t="str">
        <f>IFERROR(__xludf.DUMMYFUNCTION("if(D29="""","""",SPLIT(INDEX(IMPORTHTML(concatenate(""https://finance.yahoo.com/quote/"",D29),""table"",2),6,2),"" ""))"),"#REF!")</f>
        <v>#REF!</v>
      </c>
      <c r="X29" s="191"/>
      <c r="Y29" s="189" t="str">
        <f t="shared" si="7"/>
        <v/>
      </c>
      <c r="Z29" s="191" t="str">
        <f t="shared" si="8"/>
        <v/>
      </c>
      <c r="AA29" s="191">
        <f t="shared" si="9"/>
        <v>3</v>
      </c>
      <c r="AB29" s="70"/>
      <c r="AC29" s="175"/>
      <c r="AD29" s="177"/>
      <c r="AE29" s="175"/>
      <c r="AF29" s="180"/>
      <c r="AG29" s="180"/>
      <c r="AH29" s="180"/>
      <c r="AI29" s="180"/>
      <c r="AJ29" s="180"/>
      <c r="AK29" s="180" t="str">
        <f t="shared" si="16"/>
        <v/>
      </c>
      <c r="AL29" s="72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</row>
    <row r="30" ht="18.0" customHeight="1">
      <c r="A30" s="6"/>
      <c r="B30" s="206">
        <v>44334.0</v>
      </c>
      <c r="C30" s="176" t="s">
        <v>91</v>
      </c>
      <c r="D30" s="176" t="s">
        <v>78</v>
      </c>
      <c r="E30" s="176" t="s">
        <v>26</v>
      </c>
      <c r="F30" s="178" t="s">
        <v>27</v>
      </c>
      <c r="G30" s="206">
        <v>44365.0</v>
      </c>
      <c r="H30" s="179">
        <f>IFERROR(__xludf.DUMMYFUNCTION("GOOGLEFINANCE(D30,""price"")"),720.66)</f>
        <v>720.66</v>
      </c>
      <c r="I30" s="201">
        <v>380.0</v>
      </c>
      <c r="J30" s="181"/>
      <c r="K30" s="181"/>
      <c r="L30" s="181" t="str">
        <f t="shared" si="1"/>
        <v>Option Closed</v>
      </c>
      <c r="M30" s="212">
        <v>6.0</v>
      </c>
      <c r="N30" s="201">
        <v>2.0</v>
      </c>
      <c r="O30" s="183" t="s">
        <v>45</v>
      </c>
      <c r="P30" s="206">
        <v>44365.0</v>
      </c>
      <c r="Q30" s="184">
        <v>4.0</v>
      </c>
      <c r="R30" s="185">
        <f t="shared" si="2"/>
        <v>0.2</v>
      </c>
      <c r="S30" s="186">
        <f t="shared" si="3"/>
        <v>1200</v>
      </c>
      <c r="T30" s="187">
        <f t="shared" si="4"/>
        <v>-2400</v>
      </c>
      <c r="U30" s="188">
        <f t="shared" si="5"/>
        <v>-1200</v>
      </c>
      <c r="V30" s="189">
        <f t="shared" si="6"/>
        <v>0.005263157895</v>
      </c>
      <c r="W30" s="190" t="str">
        <f>IFERROR(__xludf.DUMMYFUNCTION("if(D30="""","""",SPLIT(INDEX(IMPORTHTML(concatenate(""https://finance.yahoo.com/quote/"",D30),""table"",2),6,2),"" ""))"),"#REF!")</f>
        <v>#REF!</v>
      </c>
      <c r="X30" s="191"/>
      <c r="Y30" s="189" t="str">
        <f t="shared" si="7"/>
        <v/>
      </c>
      <c r="Z30" s="191" t="str">
        <f t="shared" si="8"/>
        <v/>
      </c>
      <c r="AA30" s="191">
        <f t="shared" si="9"/>
        <v>31</v>
      </c>
      <c r="AB30" s="70"/>
      <c r="AC30" s="175"/>
      <c r="AD30" s="177"/>
      <c r="AE30" s="175"/>
      <c r="AF30" s="180"/>
      <c r="AG30" s="180"/>
      <c r="AH30" s="180"/>
      <c r="AI30" s="180"/>
      <c r="AJ30" s="180"/>
      <c r="AK30" s="180" t="str">
        <f t="shared" si="16"/>
        <v/>
      </c>
      <c r="AL30" s="72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</row>
    <row r="31" ht="18.0" customHeight="1">
      <c r="A31" s="6"/>
      <c r="B31" s="206">
        <v>44340.0</v>
      </c>
      <c r="C31" s="176" t="s">
        <v>75</v>
      </c>
      <c r="D31" s="176" t="s">
        <v>80</v>
      </c>
      <c r="E31" s="176" t="s">
        <v>26</v>
      </c>
      <c r="F31" s="178" t="s">
        <v>27</v>
      </c>
      <c r="G31" s="206">
        <v>44344.0</v>
      </c>
      <c r="H31" s="179">
        <f>IFERROR(__xludf.DUMMYFUNCTION("GOOGLEFINANCE(D31,""price"")"),0.84)</f>
        <v>0.84</v>
      </c>
      <c r="I31" s="201">
        <v>62.0</v>
      </c>
      <c r="J31" s="181"/>
      <c r="K31" s="181"/>
      <c r="L31" s="181" t="str">
        <f t="shared" si="1"/>
        <v>Option Closed</v>
      </c>
      <c r="M31" s="212">
        <v>1.0</v>
      </c>
      <c r="N31" s="201">
        <v>1.0</v>
      </c>
      <c r="O31" s="183" t="s">
        <v>83</v>
      </c>
      <c r="P31" s="206">
        <v>44344.0</v>
      </c>
      <c r="Q31" s="184"/>
      <c r="R31" s="185">
        <f t="shared" si="2"/>
        <v>0.1</v>
      </c>
      <c r="S31" s="186">
        <f t="shared" si="3"/>
        <v>100</v>
      </c>
      <c r="T31" s="187">
        <f t="shared" si="4"/>
        <v>0</v>
      </c>
      <c r="U31" s="188">
        <f t="shared" si="5"/>
        <v>100</v>
      </c>
      <c r="V31" s="189">
        <f t="shared" si="6"/>
        <v>0.01612903226</v>
      </c>
      <c r="W31" s="190" t="str">
        <f>IFERROR(__xludf.DUMMYFUNCTION("if(D31="""","""",SPLIT(INDEX(IMPORTHTML(concatenate(""https://finance.yahoo.com/quote/"",D31),""table"",2),6,2),"" ""))"),"#REF!")</f>
        <v>#REF!</v>
      </c>
      <c r="X31" s="191"/>
      <c r="Y31" s="189" t="str">
        <f t="shared" si="7"/>
        <v/>
      </c>
      <c r="Z31" s="191" t="str">
        <f t="shared" si="8"/>
        <v/>
      </c>
      <c r="AA31" s="191">
        <f t="shared" si="9"/>
        <v>4</v>
      </c>
      <c r="AB31" s="70"/>
      <c r="AC31" s="175"/>
      <c r="AD31" s="177"/>
      <c r="AE31" s="175"/>
      <c r="AF31" s="180"/>
      <c r="AG31" s="180"/>
      <c r="AH31" s="180"/>
      <c r="AI31" s="180"/>
      <c r="AJ31" s="180"/>
      <c r="AK31" s="180"/>
      <c r="AL31" s="72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</row>
    <row r="32" ht="18.0" customHeight="1">
      <c r="A32" s="6"/>
      <c r="B32" s="206">
        <v>44340.0</v>
      </c>
      <c r="C32" s="176" t="s">
        <v>75</v>
      </c>
      <c r="D32" s="177" t="s">
        <v>79</v>
      </c>
      <c r="E32" s="178" t="s">
        <v>26</v>
      </c>
      <c r="F32" s="178" t="s">
        <v>27</v>
      </c>
      <c r="G32" s="206">
        <v>44344.0</v>
      </c>
      <c r="H32" s="179">
        <f>IFERROR(__xludf.DUMMYFUNCTION("GOOGLEFINANCE(D32,""price"")"),5.55)</f>
        <v>5.55</v>
      </c>
      <c r="I32" s="201">
        <v>36.5</v>
      </c>
      <c r="J32" s="181"/>
      <c r="K32" s="181"/>
      <c r="L32" s="181" t="str">
        <f t="shared" si="1"/>
        <v>Option Closed</v>
      </c>
      <c r="M32" s="182">
        <v>1.0</v>
      </c>
      <c r="N32" s="201">
        <v>0.22</v>
      </c>
      <c r="O32" s="183" t="s">
        <v>83</v>
      </c>
      <c r="P32" s="206">
        <v>44344.0</v>
      </c>
      <c r="Q32" s="184"/>
      <c r="R32" s="185">
        <f t="shared" si="2"/>
        <v>0.022</v>
      </c>
      <c r="S32" s="186">
        <f t="shared" si="3"/>
        <v>22</v>
      </c>
      <c r="T32" s="187">
        <f t="shared" si="4"/>
        <v>0</v>
      </c>
      <c r="U32" s="188">
        <f t="shared" si="5"/>
        <v>22</v>
      </c>
      <c r="V32" s="189">
        <f t="shared" si="6"/>
        <v>0.00602739726</v>
      </c>
      <c r="W32" s="190" t="str">
        <f>IFERROR(__xludf.DUMMYFUNCTION("if(D32="""","""",SPLIT(INDEX(IMPORTHTML(concatenate(""https://finance.yahoo.com/quote/"",D32),""table"",2),6,2),"" ""))"),"#REF!")</f>
        <v>#REF!</v>
      </c>
      <c r="X32" s="191"/>
      <c r="Y32" s="189" t="str">
        <f t="shared" si="7"/>
        <v/>
      </c>
      <c r="Z32" s="191" t="str">
        <f t="shared" si="8"/>
        <v/>
      </c>
      <c r="AA32" s="191">
        <f t="shared" si="9"/>
        <v>4</v>
      </c>
      <c r="AB32" s="70"/>
      <c r="AC32" s="175"/>
      <c r="AD32" s="177"/>
      <c r="AE32" s="175"/>
      <c r="AF32" s="180"/>
      <c r="AG32" s="180"/>
      <c r="AH32" s="180"/>
      <c r="AI32" s="180"/>
      <c r="AJ32" s="180"/>
      <c r="AK32" s="180" t="str">
        <f t="shared" ref="AK32:AK46" si="17">IF(AE32="","",(AE32*AF32)*-1)</f>
        <v/>
      </c>
      <c r="AL32" s="72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</row>
    <row r="33" ht="18.0" customHeight="1">
      <c r="A33" s="6"/>
      <c r="B33" s="206">
        <v>44340.0</v>
      </c>
      <c r="C33" s="176" t="s">
        <v>75</v>
      </c>
      <c r="D33" s="176" t="s">
        <v>85</v>
      </c>
      <c r="E33" s="176" t="s">
        <v>82</v>
      </c>
      <c r="F33" s="178" t="s">
        <v>27</v>
      </c>
      <c r="G33" s="206">
        <v>44344.0</v>
      </c>
      <c r="H33" s="179">
        <f>IFERROR(__xludf.DUMMYFUNCTION("GOOGLEFINANCE(D33,""price"")"),197.74)</f>
        <v>197.74</v>
      </c>
      <c r="I33" s="201">
        <v>76.0</v>
      </c>
      <c r="J33" s="181"/>
      <c r="K33" s="181"/>
      <c r="L33" s="181" t="str">
        <f t="shared" si="1"/>
        <v>Option Closed</v>
      </c>
      <c r="M33" s="182">
        <v>1.0</v>
      </c>
      <c r="N33" s="201">
        <v>0.57</v>
      </c>
      <c r="O33" s="183" t="s">
        <v>86</v>
      </c>
      <c r="P33" s="206">
        <v>44344.0</v>
      </c>
      <c r="Q33" s="184"/>
      <c r="R33" s="185">
        <f t="shared" si="2"/>
        <v>0.057</v>
      </c>
      <c r="S33" s="186">
        <f t="shared" si="3"/>
        <v>57</v>
      </c>
      <c r="T33" s="187">
        <f t="shared" si="4"/>
        <v>0</v>
      </c>
      <c r="U33" s="188">
        <f t="shared" si="5"/>
        <v>57</v>
      </c>
      <c r="V33" s="189">
        <f t="shared" si="6"/>
        <v>0.0075</v>
      </c>
      <c r="W33" s="190" t="str">
        <f>IFERROR(__xludf.DUMMYFUNCTION("if(D33="""","""",SPLIT(INDEX(IMPORTHTML(concatenate(""https://finance.yahoo.com/quote/"",D33),""table"",2),6,2),"" ""))"),"#REF!")</f>
        <v>#REF!</v>
      </c>
      <c r="X33" s="191"/>
      <c r="Y33" s="189" t="str">
        <f t="shared" si="7"/>
        <v/>
      </c>
      <c r="Z33" s="191" t="str">
        <f t="shared" si="8"/>
        <v/>
      </c>
      <c r="AA33" s="191">
        <f t="shared" si="9"/>
        <v>4</v>
      </c>
      <c r="AB33" s="70"/>
      <c r="AC33" s="175"/>
      <c r="AD33" s="177"/>
      <c r="AE33" s="175"/>
      <c r="AF33" s="180"/>
      <c r="AG33" s="180"/>
      <c r="AH33" s="180"/>
      <c r="AI33" s="180"/>
      <c r="AJ33" s="180"/>
      <c r="AK33" s="180" t="str">
        <f t="shared" si="17"/>
        <v/>
      </c>
      <c r="AL33" s="72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</row>
    <row r="34" ht="18.0" customHeight="1">
      <c r="A34" s="6"/>
      <c r="B34" s="206">
        <v>44340.0</v>
      </c>
      <c r="C34" s="176" t="s">
        <v>75</v>
      </c>
      <c r="D34" s="176" t="s">
        <v>81</v>
      </c>
      <c r="E34" s="176" t="s">
        <v>82</v>
      </c>
      <c r="F34" s="178" t="s">
        <v>27</v>
      </c>
      <c r="G34" s="206">
        <v>44344.0</v>
      </c>
      <c r="H34" s="179">
        <f>IFERROR(__xludf.DUMMYFUNCTION("GOOGLEFINANCE(D34,""price"")"),401.91)</f>
        <v>401.91</v>
      </c>
      <c r="I34" s="201">
        <v>245.0</v>
      </c>
      <c r="J34" s="181"/>
      <c r="K34" s="181"/>
      <c r="L34" s="181" t="str">
        <f t="shared" si="1"/>
        <v>Option Closed</v>
      </c>
      <c r="M34" s="182">
        <v>1.0</v>
      </c>
      <c r="N34" s="201">
        <v>0.76</v>
      </c>
      <c r="O34" s="183" t="s">
        <v>86</v>
      </c>
      <c r="P34" s="206">
        <v>44344.0</v>
      </c>
      <c r="Q34" s="184"/>
      <c r="R34" s="185">
        <f t="shared" si="2"/>
        <v>0.076</v>
      </c>
      <c r="S34" s="186">
        <f t="shared" si="3"/>
        <v>76</v>
      </c>
      <c r="T34" s="187">
        <f t="shared" si="4"/>
        <v>0</v>
      </c>
      <c r="U34" s="188">
        <f t="shared" si="5"/>
        <v>76</v>
      </c>
      <c r="V34" s="189">
        <f t="shared" si="6"/>
        <v>0.003102040816</v>
      </c>
      <c r="W34" s="190" t="str">
        <f>IFERROR(__xludf.DUMMYFUNCTION("if(D34="""","""",SPLIT(INDEX(IMPORTHTML(concatenate(""https://finance.yahoo.com/quote/"",D34),""table"",2),6,2),"" ""))"),"#REF!")</f>
        <v>#REF!</v>
      </c>
      <c r="X34" s="191"/>
      <c r="Y34" s="189" t="str">
        <f t="shared" si="7"/>
        <v/>
      </c>
      <c r="Z34" s="191" t="str">
        <f t="shared" si="8"/>
        <v/>
      </c>
      <c r="AA34" s="191">
        <f t="shared" si="9"/>
        <v>4</v>
      </c>
      <c r="AB34" s="70"/>
      <c r="AC34" s="175"/>
      <c r="AD34" s="177"/>
      <c r="AE34" s="175"/>
      <c r="AF34" s="180"/>
      <c r="AG34" s="180"/>
      <c r="AH34" s="180"/>
      <c r="AI34" s="180"/>
      <c r="AJ34" s="180"/>
      <c r="AK34" s="180" t="str">
        <f t="shared" si="17"/>
        <v/>
      </c>
      <c r="AL34" s="72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</row>
    <row r="35" ht="18.0" customHeight="1">
      <c r="A35" s="6"/>
      <c r="B35" s="206">
        <v>44340.0</v>
      </c>
      <c r="C35" s="176" t="s">
        <v>75</v>
      </c>
      <c r="D35" s="176" t="s">
        <v>77</v>
      </c>
      <c r="E35" s="176" t="s">
        <v>26</v>
      </c>
      <c r="F35" s="178" t="s">
        <v>27</v>
      </c>
      <c r="G35" s="206">
        <v>44344.0</v>
      </c>
      <c r="H35" s="179">
        <f>IFERROR(__xludf.DUMMYFUNCTION("GOOGLEFINANCE(D35,""price"")"),8.76)</f>
        <v>8.76</v>
      </c>
      <c r="I35" s="201">
        <v>25.0</v>
      </c>
      <c r="J35" s="181"/>
      <c r="K35" s="181"/>
      <c r="L35" s="181" t="str">
        <f t="shared" si="1"/>
        <v>Option Closed</v>
      </c>
      <c r="M35" s="212">
        <v>3.0</v>
      </c>
      <c r="N35" s="201">
        <v>0.42</v>
      </c>
      <c r="O35" s="183" t="s">
        <v>45</v>
      </c>
      <c r="P35" s="206">
        <v>44344.0</v>
      </c>
      <c r="Q35" s="184">
        <v>0.09</v>
      </c>
      <c r="R35" s="185">
        <f t="shared" si="2"/>
        <v>0.042</v>
      </c>
      <c r="S35" s="186">
        <f t="shared" si="3"/>
        <v>126</v>
      </c>
      <c r="T35" s="187">
        <f t="shared" si="4"/>
        <v>-27</v>
      </c>
      <c r="U35" s="188">
        <f t="shared" si="5"/>
        <v>99</v>
      </c>
      <c r="V35" s="189">
        <f t="shared" si="6"/>
        <v>0.0168</v>
      </c>
      <c r="W35" s="190" t="str">
        <f>IFERROR(__xludf.DUMMYFUNCTION("if(D35="""","""",SPLIT(INDEX(IMPORTHTML(concatenate(""https://finance.yahoo.com/quote/"",D35),""table"",2),6,2),"" ""))"),"#REF!")</f>
        <v>#REF!</v>
      </c>
      <c r="X35" s="191"/>
      <c r="Y35" s="189" t="str">
        <f t="shared" si="7"/>
        <v/>
      </c>
      <c r="Z35" s="191" t="str">
        <f t="shared" si="8"/>
        <v/>
      </c>
      <c r="AA35" s="191">
        <f t="shared" si="9"/>
        <v>4</v>
      </c>
      <c r="AB35" s="70"/>
      <c r="AC35" s="175"/>
      <c r="AD35" s="177"/>
      <c r="AE35" s="175"/>
      <c r="AF35" s="180"/>
      <c r="AG35" s="180"/>
      <c r="AH35" s="180"/>
      <c r="AI35" s="180"/>
      <c r="AJ35" s="180"/>
      <c r="AK35" s="180" t="str">
        <f t="shared" si="17"/>
        <v/>
      </c>
      <c r="AL35" s="72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</row>
    <row r="36" ht="18.0" customHeight="1">
      <c r="A36" s="6"/>
      <c r="B36" s="206">
        <v>44340.0</v>
      </c>
      <c r="C36" s="176" t="s">
        <v>75</v>
      </c>
      <c r="D36" s="176" t="s">
        <v>76</v>
      </c>
      <c r="E36" s="176" t="s">
        <v>26</v>
      </c>
      <c r="F36" s="178" t="s">
        <v>27</v>
      </c>
      <c r="G36" s="206">
        <v>44344.0</v>
      </c>
      <c r="H36" s="179">
        <f>IFERROR(__xludf.DUMMYFUNCTION("GOOGLEFINANCE(D36,""price"")"),7.53)</f>
        <v>7.53</v>
      </c>
      <c r="I36" s="201">
        <v>112.0</v>
      </c>
      <c r="J36" s="181"/>
      <c r="K36" s="181"/>
      <c r="L36" s="181" t="str">
        <f t="shared" si="1"/>
        <v>Option Closed</v>
      </c>
      <c r="M36" s="212">
        <v>2.0</v>
      </c>
      <c r="N36" s="201">
        <v>0.9</v>
      </c>
      <c r="O36" s="183" t="s">
        <v>86</v>
      </c>
      <c r="P36" s="206">
        <v>44344.0</v>
      </c>
      <c r="Q36" s="184"/>
      <c r="R36" s="185">
        <f t="shared" si="2"/>
        <v>0.09</v>
      </c>
      <c r="S36" s="186">
        <f t="shared" si="3"/>
        <v>180</v>
      </c>
      <c r="T36" s="187">
        <f t="shared" si="4"/>
        <v>0</v>
      </c>
      <c r="U36" s="188">
        <f t="shared" si="5"/>
        <v>180</v>
      </c>
      <c r="V36" s="189">
        <f t="shared" si="6"/>
        <v>0.008035714286</v>
      </c>
      <c r="W36" s="190" t="str">
        <f>IFERROR(__xludf.DUMMYFUNCTION("if(D36="""","""",SPLIT(INDEX(IMPORTHTML(concatenate(""https://finance.yahoo.com/quote/"",D36),""table"",2),6,2),"" ""))"),"#REF!")</f>
        <v>#REF!</v>
      </c>
      <c r="X36" s="191"/>
      <c r="Y36" s="189" t="str">
        <f t="shared" si="7"/>
        <v/>
      </c>
      <c r="Z36" s="191" t="str">
        <f t="shared" si="8"/>
        <v/>
      </c>
      <c r="AA36" s="191">
        <f t="shared" si="9"/>
        <v>4</v>
      </c>
      <c r="AB36" s="70"/>
      <c r="AC36" s="175"/>
      <c r="AD36" s="177"/>
      <c r="AE36" s="175"/>
      <c r="AF36" s="180"/>
      <c r="AG36" s="180"/>
      <c r="AH36" s="180"/>
      <c r="AI36" s="180"/>
      <c r="AJ36" s="180"/>
      <c r="AK36" s="180" t="str">
        <f t="shared" si="17"/>
        <v/>
      </c>
      <c r="AL36" s="72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</row>
    <row r="37" ht="18.0" customHeight="1">
      <c r="A37" s="6"/>
      <c r="B37" s="206">
        <v>44340.0</v>
      </c>
      <c r="C37" s="176" t="s">
        <v>75</v>
      </c>
      <c r="D37" s="176" t="s">
        <v>44</v>
      </c>
      <c r="E37" s="176" t="s">
        <v>26</v>
      </c>
      <c r="F37" s="178" t="s">
        <v>27</v>
      </c>
      <c r="G37" s="206">
        <v>44344.0</v>
      </c>
      <c r="H37" s="179">
        <f>IFERROR(__xludf.DUMMYFUNCTION("GOOGLEFINANCE(D37,""price"")"),75.25)</f>
        <v>75.25</v>
      </c>
      <c r="I37" s="201">
        <v>47.0</v>
      </c>
      <c r="J37" s="181"/>
      <c r="K37" s="181"/>
      <c r="L37" s="181" t="str">
        <f t="shared" si="1"/>
        <v>Option Closed</v>
      </c>
      <c r="M37" s="212">
        <v>1.0</v>
      </c>
      <c r="N37" s="201">
        <v>0.19</v>
      </c>
      <c r="O37" s="183" t="s">
        <v>45</v>
      </c>
      <c r="P37" s="206">
        <v>44344.0</v>
      </c>
      <c r="Q37" s="184"/>
      <c r="R37" s="185">
        <f t="shared" si="2"/>
        <v>0.019</v>
      </c>
      <c r="S37" s="186">
        <f t="shared" si="3"/>
        <v>19</v>
      </c>
      <c r="T37" s="187">
        <f t="shared" si="4"/>
        <v>0</v>
      </c>
      <c r="U37" s="188">
        <f t="shared" si="5"/>
        <v>19</v>
      </c>
      <c r="V37" s="189">
        <f t="shared" si="6"/>
        <v>0.004042553191</v>
      </c>
      <c r="W37" s="190" t="str">
        <f>IFERROR(__xludf.DUMMYFUNCTION("if(D37="""","""",SPLIT(INDEX(IMPORTHTML(concatenate(""https://finance.yahoo.com/quote/"",D37),""table"",2),6,2),"" ""))"),"#REF!")</f>
        <v>#REF!</v>
      </c>
      <c r="X37" s="191"/>
      <c r="Y37" s="189" t="str">
        <f t="shared" si="7"/>
        <v/>
      </c>
      <c r="Z37" s="191" t="str">
        <f t="shared" si="8"/>
        <v/>
      </c>
      <c r="AA37" s="191">
        <f t="shared" si="9"/>
        <v>4</v>
      </c>
      <c r="AB37" s="70"/>
      <c r="AC37" s="175"/>
      <c r="AD37" s="177"/>
      <c r="AE37" s="175"/>
      <c r="AF37" s="180"/>
      <c r="AG37" s="180"/>
      <c r="AH37" s="180"/>
      <c r="AI37" s="180"/>
      <c r="AJ37" s="180"/>
      <c r="AK37" s="180" t="str">
        <f t="shared" si="17"/>
        <v/>
      </c>
      <c r="AL37" s="72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</row>
    <row r="38" ht="18.0" customHeight="1">
      <c r="A38" s="6"/>
      <c r="B38" s="206">
        <v>44340.0</v>
      </c>
      <c r="C38" s="176" t="s">
        <v>75</v>
      </c>
      <c r="D38" s="176" t="s">
        <v>1</v>
      </c>
      <c r="E38" s="176" t="s">
        <v>26</v>
      </c>
      <c r="F38" s="178" t="s">
        <v>27</v>
      </c>
      <c r="G38" s="206">
        <v>44344.0</v>
      </c>
      <c r="H38" s="179">
        <f>IFERROR(__xludf.DUMMYFUNCTION("GOOGLEFINANCE(D38,""price"")"),27.39)</f>
        <v>27.39</v>
      </c>
      <c r="I38" s="201">
        <v>30.5</v>
      </c>
      <c r="J38" s="181"/>
      <c r="K38" s="181"/>
      <c r="L38" s="181" t="str">
        <f t="shared" si="1"/>
        <v>Option Closed</v>
      </c>
      <c r="M38" s="212">
        <v>1.0</v>
      </c>
      <c r="N38" s="201">
        <v>0.05</v>
      </c>
      <c r="O38" s="183" t="s">
        <v>86</v>
      </c>
      <c r="P38" s="206">
        <v>44344.0</v>
      </c>
      <c r="Q38" s="184"/>
      <c r="R38" s="185">
        <f t="shared" si="2"/>
        <v>0.005</v>
      </c>
      <c r="S38" s="186">
        <f t="shared" si="3"/>
        <v>5</v>
      </c>
      <c r="T38" s="187">
        <f t="shared" si="4"/>
        <v>0</v>
      </c>
      <c r="U38" s="188">
        <f t="shared" si="5"/>
        <v>5</v>
      </c>
      <c r="V38" s="189">
        <f t="shared" si="6"/>
        <v>0.001639344262</v>
      </c>
      <c r="W38" s="190" t="str">
        <f>IFERROR(__xludf.DUMMYFUNCTION("if(D38="""","""",SPLIT(INDEX(IMPORTHTML(concatenate(""https://finance.yahoo.com/quote/"",D38),""table"",2),6,2),"" ""))"),"#REF!")</f>
        <v>#REF!</v>
      </c>
      <c r="X38" s="191"/>
      <c r="Y38" s="189" t="str">
        <f t="shared" si="7"/>
        <v/>
      </c>
      <c r="Z38" s="191" t="str">
        <f t="shared" si="8"/>
        <v/>
      </c>
      <c r="AA38" s="191">
        <f t="shared" si="9"/>
        <v>4</v>
      </c>
      <c r="AB38" s="70"/>
      <c r="AC38" s="175"/>
      <c r="AD38" s="177"/>
      <c r="AE38" s="175"/>
      <c r="AF38" s="180"/>
      <c r="AG38" s="180"/>
      <c r="AH38" s="180"/>
      <c r="AI38" s="180"/>
      <c r="AJ38" s="180"/>
      <c r="AK38" s="180" t="str">
        <f t="shared" si="17"/>
        <v/>
      </c>
      <c r="AL38" s="72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</row>
    <row r="39" ht="18.0" customHeight="1">
      <c r="A39" s="6"/>
      <c r="B39" s="206">
        <v>44340.0</v>
      </c>
      <c r="C39" s="176" t="s">
        <v>75</v>
      </c>
      <c r="D39" s="176" t="s">
        <v>47</v>
      </c>
      <c r="E39" s="176" t="s">
        <v>26</v>
      </c>
      <c r="F39" s="178" t="s">
        <v>27</v>
      </c>
      <c r="G39" s="206">
        <v>44344.0</v>
      </c>
      <c r="H39" s="179">
        <f>IFERROR(__xludf.DUMMYFUNCTION("GOOGLEFINANCE(D39,""price"")"),26.86)</f>
        <v>26.86</v>
      </c>
      <c r="I39" s="201">
        <v>40.0</v>
      </c>
      <c r="J39" s="181"/>
      <c r="K39" s="181"/>
      <c r="L39" s="181" t="str">
        <f t="shared" si="1"/>
        <v>Option Closed</v>
      </c>
      <c r="M39" s="212">
        <v>1.0</v>
      </c>
      <c r="N39" s="201">
        <v>0.28</v>
      </c>
      <c r="O39" s="183" t="s">
        <v>45</v>
      </c>
      <c r="P39" s="206">
        <v>44343.0</v>
      </c>
      <c r="Q39" s="184">
        <v>0.02</v>
      </c>
      <c r="R39" s="185">
        <f t="shared" si="2"/>
        <v>0.028</v>
      </c>
      <c r="S39" s="186">
        <f t="shared" si="3"/>
        <v>28</v>
      </c>
      <c r="T39" s="187">
        <f t="shared" si="4"/>
        <v>-2</v>
      </c>
      <c r="U39" s="188">
        <f t="shared" si="5"/>
        <v>26</v>
      </c>
      <c r="V39" s="189">
        <f t="shared" si="6"/>
        <v>0.007</v>
      </c>
      <c r="W39" s="190" t="str">
        <f>IFERROR(__xludf.DUMMYFUNCTION("if(D39="""","""",SPLIT(INDEX(IMPORTHTML(concatenate(""https://finance.yahoo.com/quote/"",D39),""table"",2),6,2),"" ""))"),"#REF!")</f>
        <v>#REF!</v>
      </c>
      <c r="X39" s="191"/>
      <c r="Y39" s="189" t="str">
        <f t="shared" si="7"/>
        <v/>
      </c>
      <c r="Z39" s="191" t="str">
        <f t="shared" si="8"/>
        <v/>
      </c>
      <c r="AA39" s="191">
        <f t="shared" si="9"/>
        <v>3</v>
      </c>
      <c r="AB39" s="70"/>
      <c r="AC39" s="175"/>
      <c r="AD39" s="177"/>
      <c r="AE39" s="175"/>
      <c r="AF39" s="180"/>
      <c r="AG39" s="180"/>
      <c r="AH39" s="180"/>
      <c r="AI39" s="180"/>
      <c r="AJ39" s="180"/>
      <c r="AK39" s="180" t="str">
        <f t="shared" si="17"/>
        <v/>
      </c>
      <c r="AL39" s="72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</row>
    <row r="40" ht="18.0" customHeight="1">
      <c r="A40" s="6"/>
      <c r="B40" s="206">
        <v>44340.0</v>
      </c>
      <c r="C40" s="176" t="s">
        <v>75</v>
      </c>
      <c r="D40" s="176" t="s">
        <v>92</v>
      </c>
      <c r="E40" s="176" t="s">
        <v>26</v>
      </c>
      <c r="F40" s="178" t="s">
        <v>27</v>
      </c>
      <c r="G40" s="206">
        <v>44368.0</v>
      </c>
      <c r="H40" s="179">
        <f>IFERROR(__xludf.DUMMYFUNCTION("GOOGLEFINANCE(D40,""price"")"),0.0)</f>
        <v>0</v>
      </c>
      <c r="I40" s="201">
        <v>11.0</v>
      </c>
      <c r="J40" s="181"/>
      <c r="K40" s="181"/>
      <c r="L40" s="181" t="str">
        <f t="shared" si="1"/>
        <v>Option Closed</v>
      </c>
      <c r="M40" s="212">
        <v>9.0</v>
      </c>
      <c r="N40" s="201">
        <v>0.05</v>
      </c>
      <c r="O40" s="183" t="s">
        <v>86</v>
      </c>
      <c r="P40" s="175">
        <v>44365.0</v>
      </c>
      <c r="Q40" s="184"/>
      <c r="R40" s="185">
        <f t="shared" si="2"/>
        <v>0.005</v>
      </c>
      <c r="S40" s="186">
        <f t="shared" si="3"/>
        <v>45</v>
      </c>
      <c r="T40" s="187">
        <f t="shared" si="4"/>
        <v>0</v>
      </c>
      <c r="U40" s="188">
        <f t="shared" si="5"/>
        <v>45</v>
      </c>
      <c r="V40" s="189">
        <f t="shared" si="6"/>
        <v>0.004545454545</v>
      </c>
      <c r="W40" s="190" t="str">
        <f>IFERROR(__xludf.DUMMYFUNCTION("if(D40="""","""",SPLIT(INDEX(IMPORTHTML(concatenate(""https://finance.yahoo.com/quote/"",D40),""table"",2),6,2),"" ""))"),"#REF!")</f>
        <v>#REF!</v>
      </c>
      <c r="X40" s="191"/>
      <c r="Y40" s="189" t="str">
        <f t="shared" si="7"/>
        <v/>
      </c>
      <c r="Z40" s="191" t="str">
        <f t="shared" si="8"/>
        <v/>
      </c>
      <c r="AA40" s="191">
        <f t="shared" si="9"/>
        <v>25</v>
      </c>
      <c r="AB40" s="70"/>
      <c r="AC40" s="175"/>
      <c r="AD40" s="177"/>
      <c r="AE40" s="175"/>
      <c r="AF40" s="180"/>
      <c r="AG40" s="180"/>
      <c r="AH40" s="180"/>
      <c r="AI40" s="180"/>
      <c r="AJ40" s="180"/>
      <c r="AK40" s="180" t="str">
        <f t="shared" si="17"/>
        <v/>
      </c>
      <c r="AL40" s="72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</row>
    <row r="41" ht="18.0" customHeight="1">
      <c r="A41" s="6"/>
      <c r="B41" s="206">
        <v>44343.0</v>
      </c>
      <c r="C41" s="176" t="s">
        <v>75</v>
      </c>
      <c r="D41" s="176" t="s">
        <v>46</v>
      </c>
      <c r="E41" s="176" t="s">
        <v>26</v>
      </c>
      <c r="F41" s="178" t="s">
        <v>27</v>
      </c>
      <c r="G41" s="206">
        <v>44351.0</v>
      </c>
      <c r="H41" s="179">
        <f>IFERROR(__xludf.DUMMYFUNCTION("GOOGLEFINANCE(D41,""price"")"),77.61)</f>
        <v>77.61</v>
      </c>
      <c r="I41" s="201">
        <v>55.5</v>
      </c>
      <c r="J41" s="181"/>
      <c r="K41" s="181"/>
      <c r="L41" s="181" t="str">
        <f t="shared" si="1"/>
        <v>Option Closed</v>
      </c>
      <c r="M41" s="212">
        <v>1.0</v>
      </c>
      <c r="N41" s="201">
        <v>0.28</v>
      </c>
      <c r="O41" s="183" t="s">
        <v>83</v>
      </c>
      <c r="P41" s="206">
        <v>44351.0</v>
      </c>
      <c r="Q41" s="184"/>
      <c r="R41" s="185">
        <f t="shared" si="2"/>
        <v>0.028</v>
      </c>
      <c r="S41" s="186">
        <f t="shared" si="3"/>
        <v>28</v>
      </c>
      <c r="T41" s="187">
        <f t="shared" si="4"/>
        <v>0</v>
      </c>
      <c r="U41" s="188">
        <f t="shared" si="5"/>
        <v>28</v>
      </c>
      <c r="V41" s="189">
        <f t="shared" si="6"/>
        <v>0.005045045045</v>
      </c>
      <c r="W41" s="190" t="str">
        <f>IFERROR(__xludf.DUMMYFUNCTION("if(D41="""","""",SPLIT(INDEX(IMPORTHTML(concatenate(""https://finance.yahoo.com/quote/"",D41),""table"",2),6,2),"" ""))"),"#REF!")</f>
        <v>#REF!</v>
      </c>
      <c r="X41" s="191"/>
      <c r="Y41" s="189" t="str">
        <f t="shared" si="7"/>
        <v/>
      </c>
      <c r="Z41" s="191" t="str">
        <f t="shared" si="8"/>
        <v/>
      </c>
      <c r="AA41" s="191">
        <f t="shared" si="9"/>
        <v>8</v>
      </c>
      <c r="AB41" s="70"/>
      <c r="AC41" s="175"/>
      <c r="AD41" s="177"/>
      <c r="AE41" s="175"/>
      <c r="AF41" s="180"/>
      <c r="AG41" s="180"/>
      <c r="AH41" s="180"/>
      <c r="AI41" s="180"/>
      <c r="AJ41" s="180"/>
      <c r="AK41" s="180" t="str">
        <f t="shared" si="17"/>
        <v/>
      </c>
      <c r="AL41" s="72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</row>
    <row r="42" ht="18.0" customHeight="1">
      <c r="A42" s="6"/>
      <c r="B42" s="206">
        <v>44343.0</v>
      </c>
      <c r="C42" s="176" t="s">
        <v>75</v>
      </c>
      <c r="D42" s="176" t="s">
        <v>89</v>
      </c>
      <c r="E42" s="176" t="s">
        <v>82</v>
      </c>
      <c r="F42" s="178" t="s">
        <v>27</v>
      </c>
      <c r="G42" s="206">
        <v>44351.0</v>
      </c>
      <c r="H42" s="179">
        <f>IFERROR(__xludf.DUMMYFUNCTION("GOOGLEFINANCE(D42,""price"")"),255.76)</f>
        <v>255.76</v>
      </c>
      <c r="I42" s="201">
        <v>123.0</v>
      </c>
      <c r="J42" s="181"/>
      <c r="K42" s="181"/>
      <c r="L42" s="181" t="str">
        <f t="shared" si="1"/>
        <v>Option Closed</v>
      </c>
      <c r="M42" s="212">
        <v>1.0</v>
      </c>
      <c r="N42" s="201">
        <v>0.6</v>
      </c>
      <c r="O42" s="183" t="s">
        <v>86</v>
      </c>
      <c r="P42" s="206">
        <v>44351.0</v>
      </c>
      <c r="Q42" s="184"/>
      <c r="R42" s="185">
        <f t="shared" si="2"/>
        <v>0.06</v>
      </c>
      <c r="S42" s="186">
        <f t="shared" si="3"/>
        <v>60</v>
      </c>
      <c r="T42" s="187">
        <f t="shared" si="4"/>
        <v>0</v>
      </c>
      <c r="U42" s="188">
        <f t="shared" si="5"/>
        <v>60</v>
      </c>
      <c r="V42" s="189">
        <f t="shared" si="6"/>
        <v>0.00487804878</v>
      </c>
      <c r="W42" s="190" t="str">
        <f>IFERROR(__xludf.DUMMYFUNCTION("if(D42="""","""",SPLIT(INDEX(IMPORTHTML(concatenate(""https://finance.yahoo.com/quote/"",D42),""table"",2),6,2),"" ""))"),"#REF!")</f>
        <v>#REF!</v>
      </c>
      <c r="X42" s="191"/>
      <c r="Y42" s="189" t="str">
        <f t="shared" si="7"/>
        <v/>
      </c>
      <c r="Z42" s="191" t="str">
        <f t="shared" si="8"/>
        <v/>
      </c>
      <c r="AA42" s="191">
        <f t="shared" si="9"/>
        <v>8</v>
      </c>
      <c r="AB42" s="70"/>
      <c r="AC42" s="175"/>
      <c r="AD42" s="177"/>
      <c r="AE42" s="175"/>
      <c r="AF42" s="180"/>
      <c r="AG42" s="180"/>
      <c r="AH42" s="180"/>
      <c r="AI42" s="180"/>
      <c r="AJ42" s="180"/>
      <c r="AK42" s="180" t="str">
        <f t="shared" si="17"/>
        <v/>
      </c>
      <c r="AL42" s="72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</row>
    <row r="43" ht="18.0" customHeight="1">
      <c r="A43" s="6"/>
      <c r="B43" s="206">
        <v>44344.0</v>
      </c>
      <c r="C43" s="176" t="s">
        <v>75</v>
      </c>
      <c r="D43" s="176" t="s">
        <v>44</v>
      </c>
      <c r="E43" s="176" t="s">
        <v>26</v>
      </c>
      <c r="F43" s="178" t="s">
        <v>27</v>
      </c>
      <c r="G43" s="206">
        <v>44351.0</v>
      </c>
      <c r="H43" s="179">
        <f>IFERROR(__xludf.DUMMYFUNCTION("GOOGLEFINANCE(D43,""price"")"),75.25)</f>
        <v>75.25</v>
      </c>
      <c r="I43" s="201">
        <v>47.0</v>
      </c>
      <c r="J43" s="181"/>
      <c r="K43" s="181"/>
      <c r="L43" s="181" t="str">
        <f t="shared" si="1"/>
        <v>Option Closed</v>
      </c>
      <c r="M43" s="212">
        <v>1.0</v>
      </c>
      <c r="N43" s="201">
        <v>0.4</v>
      </c>
      <c r="O43" s="183" t="s">
        <v>45</v>
      </c>
      <c r="P43" s="206">
        <v>44351.0</v>
      </c>
      <c r="Q43" s="184"/>
      <c r="R43" s="185">
        <f t="shared" si="2"/>
        <v>0.04</v>
      </c>
      <c r="S43" s="186">
        <f t="shared" si="3"/>
        <v>40</v>
      </c>
      <c r="T43" s="187">
        <f t="shared" si="4"/>
        <v>0</v>
      </c>
      <c r="U43" s="188">
        <f t="shared" si="5"/>
        <v>40</v>
      </c>
      <c r="V43" s="189">
        <f t="shared" si="6"/>
        <v>0.008510638298</v>
      </c>
      <c r="W43" s="190" t="str">
        <f>IFERROR(__xludf.DUMMYFUNCTION("if(D43="""","""",SPLIT(INDEX(IMPORTHTML(concatenate(""https://finance.yahoo.com/quote/"",D43),""table"",2),6,2),"" ""))"),"#REF!")</f>
        <v>#REF!</v>
      </c>
      <c r="X43" s="191"/>
      <c r="Y43" s="189" t="str">
        <f t="shared" si="7"/>
        <v/>
      </c>
      <c r="Z43" s="191" t="str">
        <f t="shared" si="8"/>
        <v/>
      </c>
      <c r="AA43" s="191">
        <f t="shared" si="9"/>
        <v>7</v>
      </c>
      <c r="AB43" s="70"/>
      <c r="AC43" s="175"/>
      <c r="AD43" s="177"/>
      <c r="AE43" s="175"/>
      <c r="AF43" s="180"/>
      <c r="AG43" s="180"/>
      <c r="AH43" s="180"/>
      <c r="AI43" s="180"/>
      <c r="AJ43" s="180"/>
      <c r="AK43" s="180" t="str">
        <f t="shared" si="17"/>
        <v/>
      </c>
      <c r="AL43" s="72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</row>
    <row r="44" ht="18.0" customHeight="1">
      <c r="A44" s="6"/>
      <c r="B44" s="206">
        <v>44344.0</v>
      </c>
      <c r="C44" s="176" t="s">
        <v>75</v>
      </c>
      <c r="D44" s="176" t="s">
        <v>77</v>
      </c>
      <c r="E44" s="176" t="s">
        <v>26</v>
      </c>
      <c r="F44" s="178" t="s">
        <v>27</v>
      </c>
      <c r="G44" s="206">
        <v>44351.0</v>
      </c>
      <c r="H44" s="179">
        <f>IFERROR(__xludf.DUMMYFUNCTION("GOOGLEFINANCE(D44,""price"")"),8.76)</f>
        <v>8.76</v>
      </c>
      <c r="I44" s="201">
        <v>28.0</v>
      </c>
      <c r="J44" s="181"/>
      <c r="K44" s="181"/>
      <c r="L44" s="181" t="str">
        <f t="shared" si="1"/>
        <v>Option Closed</v>
      </c>
      <c r="M44" s="212">
        <v>3.0</v>
      </c>
      <c r="N44" s="201">
        <v>0.48</v>
      </c>
      <c r="O44" s="183" t="s">
        <v>45</v>
      </c>
      <c r="P44" s="206">
        <v>44350.0</v>
      </c>
      <c r="Q44" s="184">
        <v>0.03</v>
      </c>
      <c r="R44" s="185">
        <f t="shared" si="2"/>
        <v>0.048</v>
      </c>
      <c r="S44" s="186">
        <f t="shared" si="3"/>
        <v>144</v>
      </c>
      <c r="T44" s="187">
        <f t="shared" si="4"/>
        <v>-9</v>
      </c>
      <c r="U44" s="188">
        <f t="shared" si="5"/>
        <v>135</v>
      </c>
      <c r="V44" s="189">
        <f t="shared" si="6"/>
        <v>0.01714285714</v>
      </c>
      <c r="W44" s="190" t="str">
        <f>IFERROR(__xludf.DUMMYFUNCTION("if(D44="""","""",SPLIT(INDEX(IMPORTHTML(concatenate(""https://finance.yahoo.com/quote/"",D44),""table"",2),6,2),"" ""))"),"#REF!")</f>
        <v>#REF!</v>
      </c>
      <c r="X44" s="191"/>
      <c r="Y44" s="189" t="str">
        <f t="shared" si="7"/>
        <v/>
      </c>
      <c r="Z44" s="191" t="str">
        <f t="shared" si="8"/>
        <v/>
      </c>
      <c r="AA44" s="191">
        <f t="shared" si="9"/>
        <v>6</v>
      </c>
      <c r="AB44" s="70"/>
      <c r="AC44" s="175"/>
      <c r="AD44" s="177"/>
      <c r="AE44" s="175"/>
      <c r="AF44" s="180"/>
      <c r="AG44" s="180"/>
      <c r="AH44" s="180"/>
      <c r="AI44" s="180"/>
      <c r="AJ44" s="180"/>
      <c r="AK44" s="180" t="str">
        <f t="shared" si="17"/>
        <v/>
      </c>
      <c r="AL44" s="72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</row>
    <row r="45" ht="18.0" customHeight="1">
      <c r="A45" s="6"/>
      <c r="B45" s="206">
        <v>44348.0</v>
      </c>
      <c r="C45" s="176" t="s">
        <v>75</v>
      </c>
      <c r="D45" s="176" t="s">
        <v>81</v>
      </c>
      <c r="E45" s="176" t="s">
        <v>82</v>
      </c>
      <c r="F45" s="178" t="s">
        <v>27</v>
      </c>
      <c r="G45" s="206">
        <v>44351.0</v>
      </c>
      <c r="H45" s="179">
        <f>IFERROR(__xludf.DUMMYFUNCTION("GOOGLEFINANCE(D45,""price"")"),401.91)</f>
        <v>401.91</v>
      </c>
      <c r="I45" s="201">
        <v>247.5</v>
      </c>
      <c r="J45" s="181"/>
      <c r="K45" s="181"/>
      <c r="L45" s="181" t="str">
        <f t="shared" si="1"/>
        <v>Option Closed</v>
      </c>
      <c r="M45" s="182">
        <v>1.0</v>
      </c>
      <c r="N45" s="201">
        <v>0.75</v>
      </c>
      <c r="O45" s="183" t="s">
        <v>45</v>
      </c>
      <c r="P45" s="206">
        <v>44351.0</v>
      </c>
      <c r="Q45" s="184">
        <v>0.1</v>
      </c>
      <c r="R45" s="185">
        <f t="shared" si="2"/>
        <v>0.075</v>
      </c>
      <c r="S45" s="186">
        <f t="shared" si="3"/>
        <v>75</v>
      </c>
      <c r="T45" s="187">
        <f t="shared" si="4"/>
        <v>-10</v>
      </c>
      <c r="U45" s="188">
        <f t="shared" si="5"/>
        <v>65</v>
      </c>
      <c r="V45" s="189">
        <f t="shared" si="6"/>
        <v>0.00303030303</v>
      </c>
      <c r="W45" s="190" t="str">
        <f>IFERROR(__xludf.DUMMYFUNCTION("if(D45="""","""",SPLIT(INDEX(IMPORTHTML(concatenate(""https://finance.yahoo.com/quote/"",D45),""table"",2),6,2),"" ""))"),"#REF!")</f>
        <v>#REF!</v>
      </c>
      <c r="X45" s="191"/>
      <c r="Y45" s="189" t="str">
        <f t="shared" si="7"/>
        <v/>
      </c>
      <c r="Z45" s="191" t="str">
        <f t="shared" si="8"/>
        <v/>
      </c>
      <c r="AA45" s="191">
        <f t="shared" si="9"/>
        <v>3</v>
      </c>
      <c r="AB45" s="70"/>
      <c r="AC45" s="175"/>
      <c r="AD45" s="177"/>
      <c r="AE45" s="175"/>
      <c r="AF45" s="180"/>
      <c r="AG45" s="180"/>
      <c r="AH45" s="180"/>
      <c r="AI45" s="180"/>
      <c r="AJ45" s="180"/>
      <c r="AK45" s="180" t="str">
        <f t="shared" si="17"/>
        <v/>
      </c>
      <c r="AL45" s="72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</row>
    <row r="46" ht="18.0" customHeight="1">
      <c r="A46" s="6"/>
      <c r="B46" s="206">
        <v>44348.0</v>
      </c>
      <c r="C46" s="176" t="s">
        <v>75</v>
      </c>
      <c r="D46" s="176" t="s">
        <v>93</v>
      </c>
      <c r="E46" s="176" t="s">
        <v>82</v>
      </c>
      <c r="F46" s="178" t="s">
        <v>27</v>
      </c>
      <c r="G46" s="206">
        <v>44351.0</v>
      </c>
      <c r="H46" s="214">
        <v>63.47</v>
      </c>
      <c r="I46" s="201">
        <v>57.5</v>
      </c>
      <c r="J46" s="181"/>
      <c r="K46" s="181"/>
      <c r="L46" s="181" t="str">
        <f t="shared" si="1"/>
        <v>Option Closed</v>
      </c>
      <c r="M46" s="182">
        <v>1.0</v>
      </c>
      <c r="N46" s="201">
        <v>0.18</v>
      </c>
      <c r="O46" s="183" t="s">
        <v>45</v>
      </c>
      <c r="P46" s="206">
        <v>44350.0</v>
      </c>
      <c r="Q46" s="184">
        <v>0.01</v>
      </c>
      <c r="R46" s="185">
        <f t="shared" si="2"/>
        <v>0.018</v>
      </c>
      <c r="S46" s="186">
        <f t="shared" si="3"/>
        <v>18</v>
      </c>
      <c r="T46" s="187">
        <f t="shared" si="4"/>
        <v>-1</v>
      </c>
      <c r="U46" s="188">
        <f t="shared" si="5"/>
        <v>17</v>
      </c>
      <c r="V46" s="189">
        <f t="shared" si="6"/>
        <v>0.003130434783</v>
      </c>
      <c r="W46" s="190" t="str">
        <f>IFERROR(__xludf.DUMMYFUNCTION("if(D46="""","""",SPLIT(INDEX(IMPORTHTML(concatenate(""https://finance.yahoo.com/quote/"",D46),""table"",2),6,2),"" ""))"),"#REF!")</f>
        <v>#REF!</v>
      </c>
      <c r="X46" s="191"/>
      <c r="Y46" s="189" t="str">
        <f t="shared" si="7"/>
        <v/>
      </c>
      <c r="Z46" s="191" t="str">
        <f t="shared" si="8"/>
        <v/>
      </c>
      <c r="AA46" s="191">
        <f t="shared" si="9"/>
        <v>2</v>
      </c>
      <c r="AB46" s="70"/>
      <c r="AC46" s="175"/>
      <c r="AD46" s="177"/>
      <c r="AE46" s="175"/>
      <c r="AF46" s="180"/>
      <c r="AG46" s="180"/>
      <c r="AH46" s="180"/>
      <c r="AI46" s="180"/>
      <c r="AJ46" s="180"/>
      <c r="AK46" s="180" t="str">
        <f t="shared" si="17"/>
        <v/>
      </c>
      <c r="AL46" s="72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</row>
    <row r="47" ht="18.0" customHeight="1">
      <c r="A47" s="6"/>
      <c r="B47" s="206">
        <v>44348.0</v>
      </c>
      <c r="C47" s="176" t="s">
        <v>75</v>
      </c>
      <c r="D47" s="176" t="s">
        <v>76</v>
      </c>
      <c r="E47" s="176" t="s">
        <v>26</v>
      </c>
      <c r="F47" s="178" t="s">
        <v>27</v>
      </c>
      <c r="G47" s="206">
        <v>44351.0</v>
      </c>
      <c r="H47" s="179">
        <v>110.18</v>
      </c>
      <c r="I47" s="201">
        <v>117.0</v>
      </c>
      <c r="J47" s="181"/>
      <c r="K47" s="181"/>
      <c r="L47" s="181" t="s">
        <v>94</v>
      </c>
      <c r="M47" s="212">
        <v>2.0</v>
      </c>
      <c r="N47" s="201">
        <v>0.65</v>
      </c>
      <c r="O47" s="183" t="s">
        <v>45</v>
      </c>
      <c r="P47" s="206">
        <v>44350.0</v>
      </c>
      <c r="Q47" s="184">
        <v>0.03</v>
      </c>
      <c r="R47" s="185">
        <v>0.06499999999999999</v>
      </c>
      <c r="S47" s="186">
        <v>130.0</v>
      </c>
      <c r="T47" s="187">
        <v>-6.0</v>
      </c>
      <c r="U47" s="188">
        <v>124.0</v>
      </c>
      <c r="V47" s="189">
        <v>0.005555555555555556</v>
      </c>
      <c r="W47" s="190" t="e">
        <v>#N/A</v>
      </c>
      <c r="X47" s="191"/>
      <c r="Y47" s="189" t="s">
        <v>95</v>
      </c>
      <c r="Z47" s="191" t="str">
        <f t="shared" si="8"/>
        <v/>
      </c>
      <c r="AA47" s="191">
        <f t="shared" si="9"/>
        <v>2</v>
      </c>
      <c r="AB47" s="70"/>
      <c r="AC47" s="175"/>
      <c r="AD47" s="177"/>
      <c r="AE47" s="175"/>
      <c r="AF47" s="180"/>
      <c r="AG47" s="180"/>
      <c r="AH47" s="180"/>
      <c r="AI47" s="180"/>
      <c r="AJ47" s="180"/>
      <c r="AK47" s="180" t="s">
        <v>95</v>
      </c>
      <c r="AL47" s="72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</row>
    <row r="48" ht="18.0" customHeight="1">
      <c r="A48" s="6"/>
      <c r="B48" s="206">
        <v>44348.0</v>
      </c>
      <c r="C48" s="176" t="s">
        <v>75</v>
      </c>
      <c r="D48" s="176" t="s">
        <v>84</v>
      </c>
      <c r="E48" s="176" t="s">
        <v>82</v>
      </c>
      <c r="F48" s="178" t="s">
        <v>27</v>
      </c>
      <c r="G48" s="206">
        <v>44351.0</v>
      </c>
      <c r="H48" s="179">
        <f>IFERROR(__xludf.DUMMYFUNCTION("GOOGLEFINANCE(D48,""price"")"),25.54)</f>
        <v>25.54</v>
      </c>
      <c r="I48" s="201">
        <v>48.0</v>
      </c>
      <c r="J48" s="181"/>
      <c r="K48" s="181"/>
      <c r="L48" s="181" t="str">
        <f t="shared" ref="L48:L328" si="18">if(O48="Open",if(E48="Call",I48-H48,if(E48="Put",H48-I48))/I48,"Option Closed")</f>
        <v>Option Closed</v>
      </c>
      <c r="M48" s="212">
        <v>1.0</v>
      </c>
      <c r="N48" s="201">
        <v>0.42</v>
      </c>
      <c r="O48" s="183" t="s">
        <v>86</v>
      </c>
      <c r="P48" s="206">
        <v>44351.0</v>
      </c>
      <c r="Q48" s="184"/>
      <c r="R48" s="185">
        <f t="shared" ref="R48:R181" si="19">if(N48="","",N48*(1-$T$2))</f>
        <v>0.042</v>
      </c>
      <c r="S48" s="186">
        <f t="shared" ref="S48:S64" si="20">IF(B48="","",IF(AND(E48="Stock",F48="Buy"),(100*((M48*N48)*-1)),IF(AND(E48="Call",F48="Buy"),(100*((M48*N48)*-1)),IF(AND(E48="PUT",F48="Buy"),(100*((M48*N48)*-1)),100*(M48*N48)))))</f>
        <v>42</v>
      </c>
      <c r="T48" s="187">
        <f t="shared" ref="T48:T64" si="21">IF(B48="","",IF(AND(E48="Stock",F48="Buy"),(100*((M48*Q48)*1)),IF(AND(E48="Call",F48="Buy"),(100*((M48*Q48)*1)),IF(AND(E48="PUT",F48="Buy"),(100*((M48*Q48)*1)),(100*(M48*Q48))*-1))))</f>
        <v>0</v>
      </c>
      <c r="U48" s="188">
        <f t="shared" ref="U48:U328" si="22">IF(S48="","",S48+T48)</f>
        <v>42</v>
      </c>
      <c r="V48" s="189">
        <f t="shared" ref="V48:V328" si="23">if(N48="","",N48/I48)</f>
        <v>0.00875</v>
      </c>
      <c r="W48" s="190" t="str">
        <f>IFERROR(__xludf.DUMMYFUNCTION("if(D48="""","""",SPLIT(INDEX(IMPORTHTML(concatenate(""https://finance.yahoo.com/quote/"",D48),""table"",2),6,2),"" ""))"),"#REF!")</f>
        <v>#REF!</v>
      </c>
      <c r="X48" s="191"/>
      <c r="Y48" s="189" t="str">
        <f t="shared" ref="Y48:Y181" si="24">if(iserror(W48/H48),"",W48/H48)</f>
        <v/>
      </c>
      <c r="Z48" s="191" t="str">
        <f t="shared" si="8"/>
        <v/>
      </c>
      <c r="AA48" s="191">
        <f t="shared" si="9"/>
        <v>3</v>
      </c>
      <c r="AB48" s="70"/>
      <c r="AC48" s="175"/>
      <c r="AD48" s="177"/>
      <c r="AE48" s="175"/>
      <c r="AF48" s="180"/>
      <c r="AG48" s="180"/>
      <c r="AH48" s="180"/>
      <c r="AI48" s="180"/>
      <c r="AJ48" s="180"/>
      <c r="AK48" s="180" t="str">
        <f t="shared" ref="AK48:AK64" si="25">IF(AE48="","",(AE48*AF48)*-1)</f>
        <v/>
      </c>
      <c r="AL48" s="72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</row>
    <row r="49" ht="18.0" customHeight="1">
      <c r="A49" s="6"/>
      <c r="B49" s="206">
        <v>44348.0</v>
      </c>
      <c r="C49" s="176" t="s">
        <v>75</v>
      </c>
      <c r="D49" s="176" t="s">
        <v>96</v>
      </c>
      <c r="E49" s="176" t="s">
        <v>82</v>
      </c>
      <c r="F49" s="178" t="s">
        <v>27</v>
      </c>
      <c r="G49" s="206">
        <v>44351.0</v>
      </c>
      <c r="H49" s="179">
        <f>IFERROR(__xludf.DUMMYFUNCTION("GOOGLEFINANCE(D49,""price"")"),5.37)</f>
        <v>5.37</v>
      </c>
      <c r="I49" s="201">
        <v>23.0</v>
      </c>
      <c r="J49" s="181"/>
      <c r="K49" s="181"/>
      <c r="L49" s="181" t="str">
        <f t="shared" si="18"/>
        <v>Option Closed</v>
      </c>
      <c r="M49" s="212">
        <v>1.0</v>
      </c>
      <c r="N49" s="201">
        <v>0.45</v>
      </c>
      <c r="O49" s="183" t="s">
        <v>86</v>
      </c>
      <c r="P49" s="206">
        <v>44351.0</v>
      </c>
      <c r="Q49" s="184"/>
      <c r="R49" s="185">
        <f t="shared" si="19"/>
        <v>0.045</v>
      </c>
      <c r="S49" s="186">
        <f t="shared" si="20"/>
        <v>45</v>
      </c>
      <c r="T49" s="187">
        <f t="shared" si="21"/>
        <v>0</v>
      </c>
      <c r="U49" s="188">
        <f t="shared" si="22"/>
        <v>45</v>
      </c>
      <c r="V49" s="189">
        <f t="shared" si="23"/>
        <v>0.01956521739</v>
      </c>
      <c r="W49" s="190" t="str">
        <f>IFERROR(__xludf.DUMMYFUNCTION("if(D49="""","""",SPLIT(INDEX(IMPORTHTML(concatenate(""https://finance.yahoo.com/quote/"",D49),""table"",2),6,2),"" ""))"),"#REF!")</f>
        <v>#REF!</v>
      </c>
      <c r="X49" s="191"/>
      <c r="Y49" s="189" t="str">
        <f t="shared" si="24"/>
        <v/>
      </c>
      <c r="Z49" s="191" t="str">
        <f t="shared" si="8"/>
        <v/>
      </c>
      <c r="AA49" s="191">
        <f t="shared" si="9"/>
        <v>3</v>
      </c>
      <c r="AB49" s="70"/>
      <c r="AC49" s="175"/>
      <c r="AD49" s="177"/>
      <c r="AE49" s="175"/>
      <c r="AF49" s="180"/>
      <c r="AG49" s="180"/>
      <c r="AH49" s="180"/>
      <c r="AI49" s="180"/>
      <c r="AJ49" s="180"/>
      <c r="AK49" s="180" t="str">
        <f t="shared" si="25"/>
        <v/>
      </c>
      <c r="AL49" s="72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</row>
    <row r="50" ht="18.0" customHeight="1">
      <c r="A50" s="6"/>
      <c r="B50" s="206">
        <v>44348.0</v>
      </c>
      <c r="C50" s="176" t="s">
        <v>75</v>
      </c>
      <c r="D50" s="176" t="s">
        <v>85</v>
      </c>
      <c r="E50" s="176" t="s">
        <v>82</v>
      </c>
      <c r="F50" s="178" t="s">
        <v>27</v>
      </c>
      <c r="G50" s="206">
        <v>44351.0</v>
      </c>
      <c r="H50" s="179">
        <f>IFERROR(__xludf.DUMMYFUNCTION("GOOGLEFINANCE(D50,""price"")"),197.74)</f>
        <v>197.74</v>
      </c>
      <c r="I50" s="201">
        <v>81.0</v>
      </c>
      <c r="J50" s="181"/>
      <c r="K50" s="181"/>
      <c r="L50" s="181" t="str">
        <f t="shared" si="18"/>
        <v>Option Closed</v>
      </c>
      <c r="M50" s="212">
        <v>1.0</v>
      </c>
      <c r="N50" s="201">
        <v>0.6</v>
      </c>
      <c r="O50" s="183" t="s">
        <v>86</v>
      </c>
      <c r="P50" s="206">
        <v>44351.0</v>
      </c>
      <c r="Q50" s="184"/>
      <c r="R50" s="185">
        <f t="shared" si="19"/>
        <v>0.06</v>
      </c>
      <c r="S50" s="186">
        <f t="shared" si="20"/>
        <v>60</v>
      </c>
      <c r="T50" s="187">
        <f t="shared" si="21"/>
        <v>0</v>
      </c>
      <c r="U50" s="188">
        <f t="shared" si="22"/>
        <v>60</v>
      </c>
      <c r="V50" s="189">
        <f t="shared" si="23"/>
        <v>0.007407407407</v>
      </c>
      <c r="W50" s="190" t="str">
        <f>IFERROR(__xludf.DUMMYFUNCTION("if(D50="""","""",SPLIT(INDEX(IMPORTHTML(concatenate(""https://finance.yahoo.com/quote/"",D50),""table"",2),6,2),"" ""))"),"#REF!")</f>
        <v>#REF!</v>
      </c>
      <c r="X50" s="191"/>
      <c r="Y50" s="189" t="str">
        <f t="shared" si="24"/>
        <v/>
      </c>
      <c r="Z50" s="191" t="str">
        <f t="shared" si="8"/>
        <v/>
      </c>
      <c r="AA50" s="191">
        <f t="shared" si="9"/>
        <v>3</v>
      </c>
      <c r="AB50" s="70"/>
      <c r="AC50" s="175"/>
      <c r="AD50" s="177"/>
      <c r="AE50" s="175"/>
      <c r="AF50" s="180"/>
      <c r="AG50" s="180"/>
      <c r="AH50" s="180"/>
      <c r="AI50" s="180"/>
      <c r="AJ50" s="180"/>
      <c r="AK50" s="180" t="str">
        <f t="shared" si="25"/>
        <v/>
      </c>
      <c r="AL50" s="72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</row>
    <row r="51" ht="18.0" customHeight="1">
      <c r="A51" s="6"/>
      <c r="B51" s="206">
        <v>44348.0</v>
      </c>
      <c r="C51" s="176" t="s">
        <v>75</v>
      </c>
      <c r="D51" s="176" t="s">
        <v>47</v>
      </c>
      <c r="E51" s="176" t="s">
        <v>26</v>
      </c>
      <c r="F51" s="178" t="s">
        <v>27</v>
      </c>
      <c r="G51" s="206">
        <v>44365.0</v>
      </c>
      <c r="H51" s="179">
        <f>IFERROR(__xludf.DUMMYFUNCTION("GOOGLEFINANCE(D51,""price"")"),26.86)</f>
        <v>26.86</v>
      </c>
      <c r="I51" s="201">
        <v>39.5</v>
      </c>
      <c r="J51" s="181"/>
      <c r="K51" s="181"/>
      <c r="L51" s="181" t="str">
        <f t="shared" si="18"/>
        <v>Option Closed</v>
      </c>
      <c r="M51" s="212">
        <v>1.0</v>
      </c>
      <c r="N51" s="201">
        <v>0.25</v>
      </c>
      <c r="O51" s="183" t="s">
        <v>86</v>
      </c>
      <c r="P51" s="206">
        <v>44365.0</v>
      </c>
      <c r="Q51" s="184"/>
      <c r="R51" s="185">
        <f t="shared" si="19"/>
        <v>0.025</v>
      </c>
      <c r="S51" s="186">
        <f t="shared" si="20"/>
        <v>25</v>
      </c>
      <c r="T51" s="187">
        <f t="shared" si="21"/>
        <v>0</v>
      </c>
      <c r="U51" s="188">
        <f t="shared" si="22"/>
        <v>25</v>
      </c>
      <c r="V51" s="189">
        <f t="shared" si="23"/>
        <v>0.006329113924</v>
      </c>
      <c r="W51" s="190" t="str">
        <f>IFERROR(__xludf.DUMMYFUNCTION("if(D51="""","""",SPLIT(INDEX(IMPORTHTML(concatenate(""https://finance.yahoo.com/quote/"",D51),""table"",2),6,2),"" ""))"),"#REF!")</f>
        <v>#REF!</v>
      </c>
      <c r="X51" s="191"/>
      <c r="Y51" s="189" t="str">
        <f t="shared" si="24"/>
        <v/>
      </c>
      <c r="Z51" s="191" t="str">
        <f t="shared" si="8"/>
        <v/>
      </c>
      <c r="AA51" s="191">
        <f t="shared" si="9"/>
        <v>17</v>
      </c>
      <c r="AB51" s="70"/>
      <c r="AC51" s="175"/>
      <c r="AD51" s="177"/>
      <c r="AE51" s="175"/>
      <c r="AF51" s="180"/>
      <c r="AG51" s="180"/>
      <c r="AH51" s="180"/>
      <c r="AI51" s="180"/>
      <c r="AJ51" s="180"/>
      <c r="AK51" s="180" t="str">
        <f t="shared" si="25"/>
        <v/>
      </c>
      <c r="AL51" s="72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</row>
    <row r="52" ht="18.0" customHeight="1">
      <c r="A52" s="6"/>
      <c r="B52" s="206">
        <v>44348.0</v>
      </c>
      <c r="C52" s="176" t="s">
        <v>75</v>
      </c>
      <c r="D52" s="176" t="s">
        <v>79</v>
      </c>
      <c r="E52" s="176" t="s">
        <v>26</v>
      </c>
      <c r="F52" s="178" t="s">
        <v>27</v>
      </c>
      <c r="G52" s="206">
        <v>44351.0</v>
      </c>
      <c r="H52" s="179">
        <f>IFERROR(__xludf.DUMMYFUNCTION("GOOGLEFINANCE(D52,""price"")"),5.55)</f>
        <v>5.55</v>
      </c>
      <c r="I52" s="201">
        <v>45.0</v>
      </c>
      <c r="J52" s="181"/>
      <c r="K52" s="181"/>
      <c r="L52" s="181" t="str">
        <f t="shared" si="18"/>
        <v>Option Closed</v>
      </c>
      <c r="M52" s="212">
        <v>1.0</v>
      </c>
      <c r="N52" s="201">
        <v>0.3</v>
      </c>
      <c r="O52" s="183" t="s">
        <v>45</v>
      </c>
      <c r="P52" s="206">
        <v>44351.0</v>
      </c>
      <c r="Q52" s="184">
        <v>0.01</v>
      </c>
      <c r="R52" s="185">
        <f t="shared" si="19"/>
        <v>0.03</v>
      </c>
      <c r="S52" s="186">
        <f t="shared" si="20"/>
        <v>30</v>
      </c>
      <c r="T52" s="187">
        <f t="shared" si="21"/>
        <v>-1</v>
      </c>
      <c r="U52" s="188">
        <f t="shared" si="22"/>
        <v>29</v>
      </c>
      <c r="V52" s="189">
        <f t="shared" si="23"/>
        <v>0.006666666667</v>
      </c>
      <c r="W52" s="190" t="str">
        <f>IFERROR(__xludf.DUMMYFUNCTION("if(D52="""","""",SPLIT(INDEX(IMPORTHTML(concatenate(""https://finance.yahoo.com/quote/"",D52),""table"",2),6,2),"" ""))"),"#REF!")</f>
        <v>#REF!</v>
      </c>
      <c r="X52" s="191"/>
      <c r="Y52" s="189" t="str">
        <f t="shared" si="24"/>
        <v/>
      </c>
      <c r="Z52" s="191" t="str">
        <f t="shared" si="8"/>
        <v/>
      </c>
      <c r="AA52" s="191">
        <f t="shared" si="9"/>
        <v>3</v>
      </c>
      <c r="AB52" s="70"/>
      <c r="AC52" s="175"/>
      <c r="AD52" s="177"/>
      <c r="AE52" s="175"/>
      <c r="AF52" s="180"/>
      <c r="AG52" s="180"/>
      <c r="AH52" s="180"/>
      <c r="AI52" s="180"/>
      <c r="AJ52" s="180"/>
      <c r="AK52" s="180" t="str">
        <f t="shared" si="25"/>
        <v/>
      </c>
      <c r="AL52" s="72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</row>
    <row r="53" ht="18.0" customHeight="1">
      <c r="A53" s="6"/>
      <c r="B53" s="206">
        <v>44348.0</v>
      </c>
      <c r="C53" s="176" t="s">
        <v>75</v>
      </c>
      <c r="D53" s="176" t="s">
        <v>79</v>
      </c>
      <c r="E53" s="176" t="s">
        <v>82</v>
      </c>
      <c r="F53" s="178" t="s">
        <v>27</v>
      </c>
      <c r="G53" s="206">
        <v>44351.0</v>
      </c>
      <c r="H53" s="179">
        <f>IFERROR(__xludf.DUMMYFUNCTION("GOOGLEFINANCE(D53,""price"")"),5.55)</f>
        <v>5.55</v>
      </c>
      <c r="I53" s="201">
        <v>37.5</v>
      </c>
      <c r="J53" s="181"/>
      <c r="K53" s="181"/>
      <c r="L53" s="181" t="str">
        <f t="shared" si="18"/>
        <v>Option Closed</v>
      </c>
      <c r="M53" s="212">
        <v>1.0</v>
      </c>
      <c r="N53" s="201">
        <v>0.2</v>
      </c>
      <c r="O53" s="183" t="s">
        <v>45</v>
      </c>
      <c r="P53" s="206">
        <v>44351.0</v>
      </c>
      <c r="Q53" s="184">
        <v>0.01</v>
      </c>
      <c r="R53" s="185">
        <f t="shared" si="19"/>
        <v>0.02</v>
      </c>
      <c r="S53" s="186">
        <f t="shared" si="20"/>
        <v>20</v>
      </c>
      <c r="T53" s="187">
        <f t="shared" si="21"/>
        <v>-1</v>
      </c>
      <c r="U53" s="188">
        <f t="shared" si="22"/>
        <v>19</v>
      </c>
      <c r="V53" s="189">
        <f t="shared" si="23"/>
        <v>0.005333333333</v>
      </c>
      <c r="W53" s="190" t="str">
        <f>IFERROR(__xludf.DUMMYFUNCTION("if(D53="""","""",SPLIT(INDEX(IMPORTHTML(concatenate(""https://finance.yahoo.com/quote/"",D53),""table"",2),6,2),"" ""))"),"#REF!")</f>
        <v>#REF!</v>
      </c>
      <c r="X53" s="191"/>
      <c r="Y53" s="189" t="str">
        <f t="shared" si="24"/>
        <v/>
      </c>
      <c r="Z53" s="191" t="str">
        <f t="shared" si="8"/>
        <v/>
      </c>
      <c r="AA53" s="191">
        <f t="shared" si="9"/>
        <v>3</v>
      </c>
      <c r="AB53" s="70"/>
      <c r="AC53" s="175"/>
      <c r="AD53" s="177"/>
      <c r="AE53" s="175"/>
      <c r="AF53" s="180"/>
      <c r="AG53" s="180"/>
      <c r="AH53" s="180"/>
      <c r="AI53" s="180"/>
      <c r="AJ53" s="180"/>
      <c r="AK53" s="180" t="str">
        <f t="shared" si="25"/>
        <v/>
      </c>
      <c r="AL53" s="72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</row>
    <row r="54" ht="18.0" customHeight="1">
      <c r="A54" s="6"/>
      <c r="B54" s="206">
        <v>44348.0</v>
      </c>
      <c r="C54" s="176" t="s">
        <v>75</v>
      </c>
      <c r="D54" s="176" t="s">
        <v>80</v>
      </c>
      <c r="E54" s="176" t="s">
        <v>82</v>
      </c>
      <c r="F54" s="178" t="s">
        <v>27</v>
      </c>
      <c r="G54" s="206">
        <v>44351.0</v>
      </c>
      <c r="H54" s="179">
        <f>IFERROR(__xludf.DUMMYFUNCTION("GOOGLEFINANCE(D54,""price"")"),0.84)</f>
        <v>0.84</v>
      </c>
      <c r="I54" s="201">
        <v>62.0</v>
      </c>
      <c r="J54" s="181"/>
      <c r="K54" s="181"/>
      <c r="L54" s="181" t="str">
        <f t="shared" si="18"/>
        <v>Option Closed</v>
      </c>
      <c r="M54" s="212">
        <v>1.0</v>
      </c>
      <c r="N54" s="201">
        <v>0.53</v>
      </c>
      <c r="O54" s="183" t="s">
        <v>86</v>
      </c>
      <c r="P54" s="206">
        <v>44351.0</v>
      </c>
      <c r="Q54" s="184"/>
      <c r="R54" s="185">
        <f t="shared" si="19"/>
        <v>0.053</v>
      </c>
      <c r="S54" s="186">
        <f t="shared" si="20"/>
        <v>53</v>
      </c>
      <c r="T54" s="187">
        <f t="shared" si="21"/>
        <v>0</v>
      </c>
      <c r="U54" s="188">
        <f t="shared" si="22"/>
        <v>53</v>
      </c>
      <c r="V54" s="189">
        <f t="shared" si="23"/>
        <v>0.008548387097</v>
      </c>
      <c r="W54" s="190" t="str">
        <f>IFERROR(__xludf.DUMMYFUNCTION("if(D54="""","""",SPLIT(INDEX(IMPORTHTML(concatenate(""https://finance.yahoo.com/quote/"",D54),""table"",2),6,2),"" ""))"),"#REF!")</f>
        <v>#REF!</v>
      </c>
      <c r="X54" s="191"/>
      <c r="Y54" s="189" t="str">
        <f t="shared" si="24"/>
        <v/>
      </c>
      <c r="Z54" s="191" t="str">
        <f t="shared" si="8"/>
        <v/>
      </c>
      <c r="AA54" s="191">
        <f t="shared" si="9"/>
        <v>3</v>
      </c>
      <c r="AB54" s="70"/>
      <c r="AC54" s="175"/>
      <c r="AD54" s="177"/>
      <c r="AE54" s="175"/>
      <c r="AF54" s="180"/>
      <c r="AG54" s="180"/>
      <c r="AH54" s="180"/>
      <c r="AI54" s="180"/>
      <c r="AJ54" s="180"/>
      <c r="AK54" s="180" t="str">
        <f t="shared" si="25"/>
        <v/>
      </c>
      <c r="AL54" s="72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</row>
    <row r="55" ht="18.0" customHeight="1">
      <c r="A55" s="6"/>
      <c r="B55" s="206">
        <v>44354.0</v>
      </c>
      <c r="C55" s="176" t="s">
        <v>75</v>
      </c>
      <c r="D55" s="176" t="s">
        <v>81</v>
      </c>
      <c r="E55" s="176" t="s">
        <v>82</v>
      </c>
      <c r="F55" s="178" t="s">
        <v>27</v>
      </c>
      <c r="G55" s="206">
        <v>44358.0</v>
      </c>
      <c r="H55" s="179">
        <f>IFERROR(__xludf.DUMMYFUNCTION("GOOGLEFINANCE(D55,""price"")"),401.91)</f>
        <v>401.91</v>
      </c>
      <c r="I55" s="201">
        <v>247.5</v>
      </c>
      <c r="J55" s="181"/>
      <c r="K55" s="181"/>
      <c r="L55" s="181" t="str">
        <f t="shared" si="18"/>
        <v>Option Closed</v>
      </c>
      <c r="M55" s="182">
        <v>1.0</v>
      </c>
      <c r="N55" s="201">
        <v>0.71</v>
      </c>
      <c r="O55" s="183" t="s">
        <v>45</v>
      </c>
      <c r="P55" s="206">
        <v>44357.0</v>
      </c>
      <c r="Q55" s="184">
        <v>0.05</v>
      </c>
      <c r="R55" s="185">
        <f t="shared" si="19"/>
        <v>0.071</v>
      </c>
      <c r="S55" s="186">
        <f t="shared" si="20"/>
        <v>71</v>
      </c>
      <c r="T55" s="187">
        <f t="shared" si="21"/>
        <v>-5</v>
      </c>
      <c r="U55" s="188">
        <f t="shared" si="22"/>
        <v>66</v>
      </c>
      <c r="V55" s="189">
        <f t="shared" si="23"/>
        <v>0.002868686869</v>
      </c>
      <c r="W55" s="190" t="str">
        <f>IFERROR(__xludf.DUMMYFUNCTION("if(D55="""","""",SPLIT(INDEX(IMPORTHTML(concatenate(""https://finance.yahoo.com/quote/"",D55),""table"",2),6,2),"" ""))"),"#REF!")</f>
        <v>#REF!</v>
      </c>
      <c r="X55" s="191"/>
      <c r="Y55" s="189" t="str">
        <f t="shared" si="24"/>
        <v/>
      </c>
      <c r="Z55" s="191" t="str">
        <f t="shared" si="8"/>
        <v/>
      </c>
      <c r="AA55" s="191">
        <f t="shared" si="9"/>
        <v>3</v>
      </c>
      <c r="AB55" s="70"/>
      <c r="AC55" s="175"/>
      <c r="AD55" s="177"/>
      <c r="AE55" s="175"/>
      <c r="AF55" s="180"/>
      <c r="AG55" s="180"/>
      <c r="AH55" s="180"/>
      <c r="AI55" s="180"/>
      <c r="AJ55" s="180"/>
      <c r="AK55" s="180" t="str">
        <f t="shared" si="25"/>
        <v/>
      </c>
      <c r="AL55" s="72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</row>
    <row r="56" ht="18.0" customHeight="1">
      <c r="A56" s="6"/>
      <c r="B56" s="206">
        <v>44354.0</v>
      </c>
      <c r="C56" s="176" t="s">
        <v>75</v>
      </c>
      <c r="D56" s="176" t="s">
        <v>89</v>
      </c>
      <c r="E56" s="176" t="s">
        <v>82</v>
      </c>
      <c r="F56" s="178" t="s">
        <v>27</v>
      </c>
      <c r="G56" s="206">
        <v>44358.0</v>
      </c>
      <c r="H56" s="179">
        <f>IFERROR(__xludf.DUMMYFUNCTION("GOOGLEFINANCE(D56,""price"")"),255.76)</f>
        <v>255.76</v>
      </c>
      <c r="I56" s="201">
        <v>123.0</v>
      </c>
      <c r="J56" s="181"/>
      <c r="K56" s="181"/>
      <c r="L56" s="181" t="str">
        <f t="shared" si="18"/>
        <v>Option Closed</v>
      </c>
      <c r="M56" s="182">
        <v>1.0</v>
      </c>
      <c r="N56" s="201">
        <v>0.6</v>
      </c>
      <c r="O56" s="183" t="s">
        <v>45</v>
      </c>
      <c r="P56" s="206">
        <v>44357.0</v>
      </c>
      <c r="Q56" s="184">
        <v>0.05</v>
      </c>
      <c r="R56" s="185">
        <f t="shared" si="19"/>
        <v>0.06</v>
      </c>
      <c r="S56" s="186">
        <f t="shared" si="20"/>
        <v>60</v>
      </c>
      <c r="T56" s="187">
        <f t="shared" si="21"/>
        <v>-5</v>
      </c>
      <c r="U56" s="188">
        <f t="shared" si="22"/>
        <v>55</v>
      </c>
      <c r="V56" s="189">
        <f t="shared" si="23"/>
        <v>0.00487804878</v>
      </c>
      <c r="W56" s="190" t="str">
        <f>IFERROR(__xludf.DUMMYFUNCTION("if(D56="""","""",SPLIT(INDEX(IMPORTHTML(concatenate(""https://finance.yahoo.com/quote/"",D56),""table"",2),6,2),"" ""))"),"#REF!")</f>
        <v>#REF!</v>
      </c>
      <c r="X56" s="191"/>
      <c r="Y56" s="189" t="str">
        <f t="shared" si="24"/>
        <v/>
      </c>
      <c r="Z56" s="191" t="str">
        <f t="shared" si="8"/>
        <v/>
      </c>
      <c r="AA56" s="191">
        <f t="shared" si="9"/>
        <v>3</v>
      </c>
      <c r="AB56" s="70"/>
      <c r="AC56" s="175"/>
      <c r="AD56" s="177"/>
      <c r="AE56" s="175"/>
      <c r="AF56" s="180"/>
      <c r="AG56" s="180"/>
      <c r="AH56" s="180"/>
      <c r="AI56" s="180"/>
      <c r="AJ56" s="180"/>
      <c r="AK56" s="180" t="str">
        <f t="shared" si="25"/>
        <v/>
      </c>
      <c r="AL56" s="72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</row>
    <row r="57" ht="18.0" customHeight="1">
      <c r="A57" s="6"/>
      <c r="B57" s="206">
        <v>44354.0</v>
      </c>
      <c r="C57" s="176" t="s">
        <v>75</v>
      </c>
      <c r="D57" s="176" t="s">
        <v>80</v>
      </c>
      <c r="E57" s="176" t="s">
        <v>82</v>
      </c>
      <c r="F57" s="178" t="s">
        <v>27</v>
      </c>
      <c r="G57" s="206">
        <v>44358.0</v>
      </c>
      <c r="H57" s="179">
        <f>IFERROR(__xludf.DUMMYFUNCTION("GOOGLEFINANCE(D57,""price"")"),0.84)</f>
        <v>0.84</v>
      </c>
      <c r="I57" s="201">
        <v>60.5</v>
      </c>
      <c r="J57" s="181"/>
      <c r="K57" s="181"/>
      <c r="L57" s="181" t="str">
        <f t="shared" si="18"/>
        <v>Option Closed</v>
      </c>
      <c r="M57" s="182">
        <v>1.0</v>
      </c>
      <c r="N57" s="201">
        <v>0.5</v>
      </c>
      <c r="O57" s="183" t="s">
        <v>45</v>
      </c>
      <c r="P57" s="206">
        <v>44358.0</v>
      </c>
      <c r="Q57" s="184">
        <v>0.05</v>
      </c>
      <c r="R57" s="185">
        <f t="shared" si="19"/>
        <v>0.05</v>
      </c>
      <c r="S57" s="186">
        <f t="shared" si="20"/>
        <v>50</v>
      </c>
      <c r="T57" s="187">
        <f t="shared" si="21"/>
        <v>-5</v>
      </c>
      <c r="U57" s="188">
        <f t="shared" si="22"/>
        <v>45</v>
      </c>
      <c r="V57" s="189">
        <f t="shared" si="23"/>
        <v>0.00826446281</v>
      </c>
      <c r="W57" s="190" t="str">
        <f>IFERROR(__xludf.DUMMYFUNCTION("if(D57="""","""",SPLIT(INDEX(IMPORTHTML(concatenate(""https://finance.yahoo.com/quote/"",D57),""table"",2),6,2),"" ""))"),"#REF!")</f>
        <v>#REF!</v>
      </c>
      <c r="X57" s="191"/>
      <c r="Y57" s="189" t="str">
        <f t="shared" si="24"/>
        <v/>
      </c>
      <c r="Z57" s="191" t="str">
        <f t="shared" si="8"/>
        <v/>
      </c>
      <c r="AA57" s="191">
        <f t="shared" si="9"/>
        <v>4</v>
      </c>
      <c r="AB57" s="70"/>
      <c r="AC57" s="175"/>
      <c r="AD57" s="177"/>
      <c r="AE57" s="175"/>
      <c r="AF57" s="180"/>
      <c r="AG57" s="180"/>
      <c r="AH57" s="180"/>
      <c r="AI57" s="180"/>
      <c r="AJ57" s="180"/>
      <c r="AK57" s="180" t="str">
        <f t="shared" si="25"/>
        <v/>
      </c>
      <c r="AL57" s="72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</row>
    <row r="58" ht="18.0" customHeight="1">
      <c r="A58" s="6"/>
      <c r="B58" s="206">
        <v>44354.0</v>
      </c>
      <c r="C58" s="176" t="s">
        <v>75</v>
      </c>
      <c r="D58" s="176" t="s">
        <v>85</v>
      </c>
      <c r="E58" s="176" t="s">
        <v>82</v>
      </c>
      <c r="F58" s="178" t="s">
        <v>27</v>
      </c>
      <c r="G58" s="206">
        <v>44358.0</v>
      </c>
      <c r="H58" s="179">
        <f>IFERROR(__xludf.DUMMYFUNCTION("GOOGLEFINANCE(D58,""price"")"),197.74)</f>
        <v>197.74</v>
      </c>
      <c r="I58" s="201">
        <v>79.5</v>
      </c>
      <c r="J58" s="181"/>
      <c r="K58" s="181"/>
      <c r="L58" s="181" t="str">
        <f t="shared" si="18"/>
        <v>Option Closed</v>
      </c>
      <c r="M58" s="182">
        <v>1.0</v>
      </c>
      <c r="N58" s="201">
        <v>0.55</v>
      </c>
      <c r="O58" s="183" t="s">
        <v>45</v>
      </c>
      <c r="P58" s="206">
        <v>44358.0</v>
      </c>
      <c r="Q58" s="184">
        <v>0.06</v>
      </c>
      <c r="R58" s="185">
        <f t="shared" si="19"/>
        <v>0.055</v>
      </c>
      <c r="S58" s="186">
        <f t="shared" si="20"/>
        <v>55</v>
      </c>
      <c r="T58" s="187">
        <f t="shared" si="21"/>
        <v>-6</v>
      </c>
      <c r="U58" s="188">
        <f t="shared" si="22"/>
        <v>49</v>
      </c>
      <c r="V58" s="189">
        <f t="shared" si="23"/>
        <v>0.006918238994</v>
      </c>
      <c r="W58" s="190" t="str">
        <f>IFERROR(__xludf.DUMMYFUNCTION("if(D58="""","""",SPLIT(INDEX(IMPORTHTML(concatenate(""https://finance.yahoo.com/quote/"",D58),""table"",2),6,2),"" ""))"),"#REF!")</f>
        <v>#REF!</v>
      </c>
      <c r="X58" s="191"/>
      <c r="Y58" s="189" t="str">
        <f t="shared" si="24"/>
        <v/>
      </c>
      <c r="Z58" s="191" t="str">
        <f t="shared" si="8"/>
        <v/>
      </c>
      <c r="AA58" s="191">
        <f t="shared" si="9"/>
        <v>4</v>
      </c>
      <c r="AB58" s="70"/>
      <c r="AC58" s="175"/>
      <c r="AD58" s="177"/>
      <c r="AE58" s="175"/>
      <c r="AF58" s="180"/>
      <c r="AG58" s="180"/>
      <c r="AH58" s="180"/>
      <c r="AI58" s="180"/>
      <c r="AJ58" s="180"/>
      <c r="AK58" s="180" t="str">
        <f t="shared" si="25"/>
        <v/>
      </c>
      <c r="AL58" s="72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</row>
    <row r="59" ht="18.0" customHeight="1">
      <c r="A59" s="6"/>
      <c r="B59" s="206">
        <v>44354.0</v>
      </c>
      <c r="C59" s="176" t="s">
        <v>75</v>
      </c>
      <c r="D59" s="176" t="s">
        <v>76</v>
      </c>
      <c r="E59" s="176" t="s">
        <v>26</v>
      </c>
      <c r="F59" s="178" t="s">
        <v>27</v>
      </c>
      <c r="G59" s="206">
        <v>44358.0</v>
      </c>
      <c r="H59" s="179">
        <f>IFERROR(__xludf.DUMMYFUNCTION("GOOGLEFINANCE(D59,""price"")"),7.53)</f>
        <v>7.53</v>
      </c>
      <c r="I59" s="201">
        <v>113.5</v>
      </c>
      <c r="J59" s="181"/>
      <c r="K59" s="181"/>
      <c r="L59" s="181" t="str">
        <f t="shared" si="18"/>
        <v>Option Closed</v>
      </c>
      <c r="M59" s="212">
        <v>2.0</v>
      </c>
      <c r="N59" s="201">
        <v>0.63</v>
      </c>
      <c r="O59" s="183" t="s">
        <v>83</v>
      </c>
      <c r="P59" s="206">
        <v>44358.0</v>
      </c>
      <c r="Q59" s="184"/>
      <c r="R59" s="185">
        <f t="shared" si="19"/>
        <v>0.063</v>
      </c>
      <c r="S59" s="186">
        <f t="shared" si="20"/>
        <v>126</v>
      </c>
      <c r="T59" s="187">
        <f t="shared" si="21"/>
        <v>0</v>
      </c>
      <c r="U59" s="188">
        <f t="shared" si="22"/>
        <v>126</v>
      </c>
      <c r="V59" s="189">
        <f t="shared" si="23"/>
        <v>0.005550660793</v>
      </c>
      <c r="W59" s="190" t="str">
        <f>IFERROR(__xludf.DUMMYFUNCTION("if(D59="""","""",SPLIT(INDEX(IMPORTHTML(concatenate(""https://finance.yahoo.com/quote/"",D59),""table"",2),6,2),"" ""))"),"#REF!")</f>
        <v>#REF!</v>
      </c>
      <c r="X59" s="191"/>
      <c r="Y59" s="189" t="str">
        <f t="shared" si="24"/>
        <v/>
      </c>
      <c r="Z59" s="191" t="str">
        <f t="shared" si="8"/>
        <v/>
      </c>
      <c r="AA59" s="191">
        <f t="shared" si="9"/>
        <v>4</v>
      </c>
      <c r="AB59" s="70"/>
      <c r="AC59" s="175"/>
      <c r="AD59" s="177"/>
      <c r="AE59" s="175"/>
      <c r="AF59" s="180"/>
      <c r="AG59" s="180"/>
      <c r="AH59" s="180"/>
      <c r="AI59" s="180"/>
      <c r="AJ59" s="180"/>
      <c r="AK59" s="180" t="str">
        <f t="shared" si="25"/>
        <v/>
      </c>
      <c r="AL59" s="72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</row>
    <row r="60" ht="18.0" customHeight="1">
      <c r="A60" s="6"/>
      <c r="B60" s="206">
        <v>44354.0</v>
      </c>
      <c r="C60" s="176" t="s">
        <v>75</v>
      </c>
      <c r="D60" s="176" t="s">
        <v>79</v>
      </c>
      <c r="E60" s="176" t="s">
        <v>26</v>
      </c>
      <c r="F60" s="178" t="s">
        <v>27</v>
      </c>
      <c r="G60" s="206">
        <v>44358.0</v>
      </c>
      <c r="H60" s="179">
        <f>IFERROR(__xludf.DUMMYFUNCTION("GOOGLEFINANCE(D60,""price"")"),5.55)</f>
        <v>5.55</v>
      </c>
      <c r="I60" s="201">
        <v>44.5</v>
      </c>
      <c r="J60" s="181"/>
      <c r="K60" s="181"/>
      <c r="L60" s="181" t="str">
        <f t="shared" si="18"/>
        <v>Option Closed</v>
      </c>
      <c r="M60" s="212">
        <v>1.0</v>
      </c>
      <c r="N60" s="201">
        <v>0.38</v>
      </c>
      <c r="O60" s="183" t="s">
        <v>83</v>
      </c>
      <c r="P60" s="206">
        <v>44358.0</v>
      </c>
      <c r="Q60" s="184"/>
      <c r="R60" s="185">
        <f t="shared" si="19"/>
        <v>0.038</v>
      </c>
      <c r="S60" s="186">
        <f t="shared" si="20"/>
        <v>38</v>
      </c>
      <c r="T60" s="187">
        <f t="shared" si="21"/>
        <v>0</v>
      </c>
      <c r="U60" s="188">
        <f t="shared" si="22"/>
        <v>38</v>
      </c>
      <c r="V60" s="189">
        <f t="shared" si="23"/>
        <v>0.008539325843</v>
      </c>
      <c r="W60" s="190" t="str">
        <f>IFERROR(__xludf.DUMMYFUNCTION("if(D60="""","""",SPLIT(INDEX(IMPORTHTML(concatenate(""https://finance.yahoo.com/quote/"",D60),""table"",2),6,2),"" ""))"),"#REF!")</f>
        <v>#REF!</v>
      </c>
      <c r="X60" s="191"/>
      <c r="Y60" s="189" t="str">
        <f t="shared" si="24"/>
        <v/>
      </c>
      <c r="Z60" s="191" t="str">
        <f t="shared" si="8"/>
        <v/>
      </c>
      <c r="AA60" s="191">
        <f t="shared" si="9"/>
        <v>4</v>
      </c>
      <c r="AB60" s="70"/>
      <c r="AC60" s="175"/>
      <c r="AD60" s="177"/>
      <c r="AE60" s="175"/>
      <c r="AF60" s="180"/>
      <c r="AG60" s="180"/>
      <c r="AH60" s="180"/>
      <c r="AI60" s="180"/>
      <c r="AJ60" s="180"/>
      <c r="AK60" s="180" t="str">
        <f t="shared" si="25"/>
        <v/>
      </c>
      <c r="AL60" s="72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</row>
    <row r="61" ht="18.0" customHeight="1">
      <c r="A61" s="6"/>
      <c r="B61" s="206">
        <v>44354.0</v>
      </c>
      <c r="C61" s="176" t="s">
        <v>75</v>
      </c>
      <c r="D61" s="176" t="s">
        <v>97</v>
      </c>
      <c r="E61" s="176" t="s">
        <v>82</v>
      </c>
      <c r="F61" s="176" t="s">
        <v>27</v>
      </c>
      <c r="G61" s="206">
        <v>44358.0</v>
      </c>
      <c r="H61" s="179">
        <f>IFERROR(__xludf.DUMMYFUNCTION("GOOGLEFINANCE(D61,""price"")"),56.3)</f>
        <v>56.3</v>
      </c>
      <c r="I61" s="201">
        <v>87.0</v>
      </c>
      <c r="J61" s="181"/>
      <c r="K61" s="181"/>
      <c r="L61" s="181" t="str">
        <f t="shared" si="18"/>
        <v>Option Closed</v>
      </c>
      <c r="M61" s="212">
        <v>1.0</v>
      </c>
      <c r="N61" s="201">
        <v>0.75</v>
      </c>
      <c r="O61" s="183" t="s">
        <v>45</v>
      </c>
      <c r="P61" s="206">
        <v>44357.0</v>
      </c>
      <c r="Q61" s="184">
        <v>1.0</v>
      </c>
      <c r="R61" s="185">
        <f t="shared" si="19"/>
        <v>0.075</v>
      </c>
      <c r="S61" s="186">
        <f t="shared" si="20"/>
        <v>75</v>
      </c>
      <c r="T61" s="187">
        <f t="shared" si="21"/>
        <v>-100</v>
      </c>
      <c r="U61" s="188">
        <f t="shared" si="22"/>
        <v>-25</v>
      </c>
      <c r="V61" s="189">
        <f t="shared" si="23"/>
        <v>0.008620689655</v>
      </c>
      <c r="W61" s="190" t="str">
        <f>IFERROR(__xludf.DUMMYFUNCTION("if(D61="""","""",SPLIT(INDEX(IMPORTHTML(concatenate(""https://finance.yahoo.com/quote/"",D61),""table"",2),6,2),"" ""))"),"#REF!")</f>
        <v>#REF!</v>
      </c>
      <c r="X61" s="191"/>
      <c r="Y61" s="189" t="str">
        <f t="shared" si="24"/>
        <v/>
      </c>
      <c r="Z61" s="191" t="str">
        <f t="shared" si="8"/>
        <v/>
      </c>
      <c r="AA61" s="191">
        <f t="shared" si="9"/>
        <v>3</v>
      </c>
      <c r="AB61" s="70"/>
      <c r="AC61" s="175"/>
      <c r="AD61" s="177"/>
      <c r="AE61" s="175"/>
      <c r="AF61" s="180"/>
      <c r="AG61" s="180"/>
      <c r="AH61" s="180"/>
      <c r="AI61" s="180"/>
      <c r="AJ61" s="180"/>
      <c r="AK61" s="180" t="str">
        <f t="shared" si="25"/>
        <v/>
      </c>
      <c r="AL61" s="72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</row>
    <row r="62" ht="18.0" customHeight="1">
      <c r="A62" s="6"/>
      <c r="B62" s="206">
        <v>44354.0</v>
      </c>
      <c r="C62" s="176" t="s">
        <v>75</v>
      </c>
      <c r="D62" s="176" t="s">
        <v>87</v>
      </c>
      <c r="E62" s="176" t="s">
        <v>82</v>
      </c>
      <c r="F62" s="176" t="s">
        <v>27</v>
      </c>
      <c r="G62" s="206">
        <v>44358.0</v>
      </c>
      <c r="H62" s="179">
        <f>IFERROR(__xludf.DUMMYFUNCTION("GOOGLEFINANCE(D62,""price"")"),127.7)</f>
        <v>127.7</v>
      </c>
      <c r="I62" s="201">
        <v>140.0</v>
      </c>
      <c r="J62" s="181"/>
      <c r="K62" s="181"/>
      <c r="L62" s="181" t="str">
        <f t="shared" si="18"/>
        <v>Option Closed</v>
      </c>
      <c r="M62" s="212">
        <v>1.0</v>
      </c>
      <c r="N62" s="201">
        <v>0.65</v>
      </c>
      <c r="O62" s="183" t="s">
        <v>45</v>
      </c>
      <c r="P62" s="206">
        <v>44358.0</v>
      </c>
      <c r="Q62" s="184">
        <v>0.05</v>
      </c>
      <c r="R62" s="185">
        <f t="shared" si="19"/>
        <v>0.065</v>
      </c>
      <c r="S62" s="186">
        <f t="shared" si="20"/>
        <v>65</v>
      </c>
      <c r="T62" s="187">
        <f t="shared" si="21"/>
        <v>-5</v>
      </c>
      <c r="U62" s="188">
        <f t="shared" si="22"/>
        <v>60</v>
      </c>
      <c r="V62" s="189">
        <f t="shared" si="23"/>
        <v>0.004642857143</v>
      </c>
      <c r="W62" s="190" t="str">
        <f>IFERROR(__xludf.DUMMYFUNCTION("if(D62="""","""",SPLIT(INDEX(IMPORTHTML(concatenate(""https://finance.yahoo.com/quote/"",D62),""table"",2),6,2),"" ""))"),"#REF!")</f>
        <v>#REF!</v>
      </c>
      <c r="X62" s="191"/>
      <c r="Y62" s="189" t="str">
        <f t="shared" si="24"/>
        <v/>
      </c>
      <c r="Z62" s="191" t="str">
        <f t="shared" si="8"/>
        <v/>
      </c>
      <c r="AA62" s="191">
        <f t="shared" si="9"/>
        <v>4</v>
      </c>
      <c r="AB62" s="70"/>
      <c r="AC62" s="175"/>
      <c r="AD62" s="177"/>
      <c r="AE62" s="175"/>
      <c r="AF62" s="180"/>
      <c r="AG62" s="180"/>
      <c r="AH62" s="180"/>
      <c r="AI62" s="180"/>
      <c r="AJ62" s="180"/>
      <c r="AK62" s="180" t="str">
        <f t="shared" si="25"/>
        <v/>
      </c>
      <c r="AL62" s="72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</row>
    <row r="63" ht="18.0" customHeight="1">
      <c r="A63" s="6"/>
      <c r="B63" s="206">
        <v>44356.0</v>
      </c>
      <c r="C63" s="176" t="s">
        <v>75</v>
      </c>
      <c r="D63" s="176" t="s">
        <v>77</v>
      </c>
      <c r="E63" s="176" t="s">
        <v>26</v>
      </c>
      <c r="F63" s="176" t="s">
        <v>27</v>
      </c>
      <c r="G63" s="206">
        <v>44358.0</v>
      </c>
      <c r="H63" s="179">
        <f>IFERROR(__xludf.DUMMYFUNCTION("GOOGLEFINANCE(D63,""price"")"),8.76)</f>
        <v>8.76</v>
      </c>
      <c r="I63" s="201">
        <v>27.0</v>
      </c>
      <c r="J63" s="181"/>
      <c r="K63" s="181"/>
      <c r="L63" s="181" t="str">
        <f t="shared" si="18"/>
        <v>Option Closed</v>
      </c>
      <c r="M63" s="212">
        <v>3.0</v>
      </c>
      <c r="N63" s="201">
        <v>0.2</v>
      </c>
      <c r="O63" s="183" t="s">
        <v>98</v>
      </c>
      <c r="P63" s="206">
        <v>44357.0</v>
      </c>
      <c r="Q63" s="184">
        <v>0.6</v>
      </c>
      <c r="R63" s="185">
        <f t="shared" si="19"/>
        <v>0.02</v>
      </c>
      <c r="S63" s="186">
        <f t="shared" si="20"/>
        <v>60</v>
      </c>
      <c r="T63" s="187">
        <f t="shared" si="21"/>
        <v>-180</v>
      </c>
      <c r="U63" s="188">
        <f t="shared" si="22"/>
        <v>-120</v>
      </c>
      <c r="V63" s="189">
        <f t="shared" si="23"/>
        <v>0.007407407407</v>
      </c>
      <c r="W63" s="190" t="str">
        <f>IFERROR(__xludf.DUMMYFUNCTION("if(D63="""","""",SPLIT(INDEX(IMPORTHTML(concatenate(""https://finance.yahoo.com/quote/"",D63),""table"",2),6,2),"" ""))"),"#REF!")</f>
        <v>#REF!</v>
      </c>
      <c r="X63" s="191"/>
      <c r="Y63" s="189" t="str">
        <f t="shared" si="24"/>
        <v/>
      </c>
      <c r="Z63" s="191" t="str">
        <f t="shared" si="8"/>
        <v/>
      </c>
      <c r="AA63" s="191">
        <f t="shared" si="9"/>
        <v>1</v>
      </c>
      <c r="AB63" s="70"/>
      <c r="AC63" s="175"/>
      <c r="AD63" s="177"/>
      <c r="AE63" s="175"/>
      <c r="AF63" s="180"/>
      <c r="AG63" s="180"/>
      <c r="AH63" s="180"/>
      <c r="AI63" s="180"/>
      <c r="AJ63" s="180"/>
      <c r="AK63" s="180" t="str">
        <f t="shared" si="25"/>
        <v/>
      </c>
      <c r="AL63" s="72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</row>
    <row r="64" ht="18.0" customHeight="1">
      <c r="A64" s="6"/>
      <c r="B64" s="206">
        <v>44357.0</v>
      </c>
      <c r="C64" s="176" t="s">
        <v>75</v>
      </c>
      <c r="D64" s="176" t="s">
        <v>77</v>
      </c>
      <c r="E64" s="176" t="s">
        <v>26</v>
      </c>
      <c r="F64" s="176" t="s">
        <v>27</v>
      </c>
      <c r="G64" s="206">
        <v>44365.0</v>
      </c>
      <c r="H64" s="179">
        <f>IFERROR(__xludf.DUMMYFUNCTION("GOOGLEFINANCE(D64,""price"")"),8.76)</f>
        <v>8.76</v>
      </c>
      <c r="I64" s="201">
        <v>30.0</v>
      </c>
      <c r="J64" s="181"/>
      <c r="K64" s="181"/>
      <c r="L64" s="181" t="str">
        <f t="shared" si="18"/>
        <v>Option Closed</v>
      </c>
      <c r="M64" s="212">
        <v>3.0</v>
      </c>
      <c r="N64" s="201">
        <v>0.8</v>
      </c>
      <c r="O64" s="183" t="s">
        <v>86</v>
      </c>
      <c r="P64" s="206">
        <v>44365.0</v>
      </c>
      <c r="Q64" s="184"/>
      <c r="R64" s="185">
        <f t="shared" si="19"/>
        <v>0.08</v>
      </c>
      <c r="S64" s="186">
        <f t="shared" si="20"/>
        <v>240</v>
      </c>
      <c r="T64" s="187">
        <f t="shared" si="21"/>
        <v>0</v>
      </c>
      <c r="U64" s="188">
        <f t="shared" si="22"/>
        <v>240</v>
      </c>
      <c r="V64" s="189">
        <f t="shared" si="23"/>
        <v>0.02666666667</v>
      </c>
      <c r="W64" s="190" t="str">
        <f>IFERROR(__xludf.DUMMYFUNCTION("if(D64="""","""",SPLIT(INDEX(IMPORTHTML(concatenate(""https://finance.yahoo.com/quote/"",D64),""table"",2),6,2),"" ""))"),"#REF!")</f>
        <v>#REF!</v>
      </c>
      <c r="X64" s="191"/>
      <c r="Y64" s="189" t="str">
        <f t="shared" si="24"/>
        <v/>
      </c>
      <c r="Z64" s="191" t="str">
        <f t="shared" si="8"/>
        <v/>
      </c>
      <c r="AA64" s="191">
        <f t="shared" si="9"/>
        <v>8</v>
      </c>
      <c r="AB64" s="70"/>
      <c r="AC64" s="175"/>
      <c r="AD64" s="177"/>
      <c r="AE64" s="175"/>
      <c r="AF64" s="180"/>
      <c r="AG64" s="180"/>
      <c r="AH64" s="180"/>
      <c r="AI64" s="180"/>
      <c r="AJ64" s="180"/>
      <c r="AK64" s="180" t="str">
        <f t="shared" si="25"/>
        <v/>
      </c>
      <c r="AL64" s="72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</row>
    <row r="65" ht="18.0" customHeight="1">
      <c r="A65" s="6"/>
      <c r="B65" s="206">
        <v>44357.0</v>
      </c>
      <c r="C65" s="176" t="s">
        <v>75</v>
      </c>
      <c r="D65" s="176" t="s">
        <v>44</v>
      </c>
      <c r="E65" s="176" t="s">
        <v>26</v>
      </c>
      <c r="F65" s="176" t="s">
        <v>27</v>
      </c>
      <c r="G65" s="206">
        <v>44365.0</v>
      </c>
      <c r="H65" s="179">
        <f>IFERROR(__xludf.DUMMYFUNCTION("GOOGLEFINANCE(D65,""price"")"),75.25)</f>
        <v>75.25</v>
      </c>
      <c r="I65" s="201">
        <v>46.5</v>
      </c>
      <c r="J65" s="181"/>
      <c r="K65" s="181"/>
      <c r="L65" s="181" t="str">
        <f t="shared" si="18"/>
        <v>Option Closed</v>
      </c>
      <c r="M65" s="212">
        <v>1.0</v>
      </c>
      <c r="N65" s="201">
        <v>0.27</v>
      </c>
      <c r="O65" s="183" t="s">
        <v>86</v>
      </c>
      <c r="P65" s="206">
        <v>44365.0</v>
      </c>
      <c r="Q65" s="184"/>
      <c r="R65" s="185">
        <f t="shared" si="19"/>
        <v>0.027</v>
      </c>
      <c r="S65" s="186">
        <f>IF(B65="","",IF(AND(E65="Stock",F65="Buy"),(100*((M65*N65)*-1)),IF(AND(E65="Call",F65="Buy"),(100*((M65*N65)*-1)),IF(AND(E65="PUT",F65="Buy"),(100*((M65*N65)*-1)),100*(M65*N65)))))</f>
        <v>27</v>
      </c>
      <c r="T65" s="187">
        <f>IF(B65="","",IF(AND(E65="Stock",F65="Buy"),(100*((M65*Q65)*1)),IF(AND(E65="Call",F65="Buy"),(100*((M65*Q65)*1)),IF(AND(E65="PUT",F65="Buy"),(100*((M65*Q65)*1)),(100*(M65*Q65))*-1))))</f>
        <v>0</v>
      </c>
      <c r="U65" s="188">
        <f t="shared" si="22"/>
        <v>27</v>
      </c>
      <c r="V65" s="189">
        <f t="shared" si="23"/>
        <v>0.005806451613</v>
      </c>
      <c r="W65" s="190" t="str">
        <f>IFERROR(__xludf.DUMMYFUNCTION("if(D65="""","""",SPLIT(INDEX(IMPORTHTML(concatenate(""https://finance.yahoo.com/quote/"",D65),""table"",2),6,2),"" ""))"),"#REF!")</f>
        <v>#REF!</v>
      </c>
      <c r="X65" s="191"/>
      <c r="Y65" s="189" t="str">
        <f t="shared" si="24"/>
        <v/>
      </c>
      <c r="Z65" s="191" t="str">
        <f t="shared" si="8"/>
        <v/>
      </c>
      <c r="AA65" s="191">
        <f t="shared" si="9"/>
        <v>8</v>
      </c>
      <c r="AB65" s="70"/>
      <c r="AC65" s="175"/>
      <c r="AD65" s="177"/>
      <c r="AE65" s="175"/>
      <c r="AF65" s="180"/>
      <c r="AG65" s="180"/>
      <c r="AH65" s="180"/>
      <c r="AI65" s="180"/>
      <c r="AJ65" s="180"/>
      <c r="AK65" s="180" t="str">
        <f>IF(AE65="","",(AE65*AF65)*-1)</f>
        <v/>
      </c>
      <c r="AL65" s="72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</row>
    <row r="66" ht="18.0" customHeight="1">
      <c r="A66" s="6"/>
      <c r="B66" s="206">
        <v>44357.0</v>
      </c>
      <c r="C66" s="176" t="s">
        <v>75</v>
      </c>
      <c r="D66" s="176" t="s">
        <v>89</v>
      </c>
      <c r="E66" s="176" t="s">
        <v>82</v>
      </c>
      <c r="F66" s="178" t="s">
        <v>27</v>
      </c>
      <c r="G66" s="206">
        <v>44365.0</v>
      </c>
      <c r="H66" s="179">
        <f>IFERROR(__xludf.DUMMYFUNCTION("GOOGLEFINANCE(D66,""price"")"),255.76)</f>
        <v>255.76</v>
      </c>
      <c r="I66" s="201">
        <v>123.0</v>
      </c>
      <c r="J66" s="181"/>
      <c r="K66" s="181"/>
      <c r="L66" s="181" t="str">
        <f t="shared" si="18"/>
        <v>Option Closed</v>
      </c>
      <c r="M66" s="182">
        <v>1.0</v>
      </c>
      <c r="N66" s="201">
        <v>0.55</v>
      </c>
      <c r="O66" s="183" t="s">
        <v>45</v>
      </c>
      <c r="P66" s="206">
        <v>44364.0</v>
      </c>
      <c r="Q66" s="184">
        <v>0.02</v>
      </c>
      <c r="R66" s="185">
        <f t="shared" si="19"/>
        <v>0.055</v>
      </c>
      <c r="S66" s="186">
        <f t="shared" ref="S66:S141" si="26">IF(B66="","",IF(AND(E66="Stock",F66="Buy"),(100*((M66*N66)*-1)),IF(AND(E66="Call",F66="Buy"),(100*((M66*N66)*-1)),IF(AND(E66="PUT",F66="Buy"),(100*((M66*N66)*-1)),100*(M66*N66)))))</f>
        <v>55</v>
      </c>
      <c r="T66" s="187">
        <f t="shared" ref="T66:T141" si="27">IF(B66="","",IF(AND(E66="Stock",F66="Buy"),(100*((M66*Q66)*1)),IF(AND(E66="Call",F66="Buy"),(100*((M66*Q66)*1)),IF(AND(E66="PUT",F66="Buy"),(100*((M66*Q66)*1)),(100*(M66*Q66))*-1))))</f>
        <v>-2</v>
      </c>
      <c r="U66" s="188">
        <f t="shared" si="22"/>
        <v>53</v>
      </c>
      <c r="V66" s="189">
        <f t="shared" si="23"/>
        <v>0.004471544715</v>
      </c>
      <c r="W66" s="190" t="str">
        <f>IFERROR(__xludf.DUMMYFUNCTION("if(D66="""","""",SPLIT(INDEX(IMPORTHTML(concatenate(""https://finance.yahoo.com/quote/"",D66),""table"",2),6,2),"" ""))"),"#REF!")</f>
        <v>#REF!</v>
      </c>
      <c r="X66" s="191"/>
      <c r="Y66" s="189" t="str">
        <f t="shared" si="24"/>
        <v/>
      </c>
      <c r="Z66" s="191" t="str">
        <f t="shared" si="8"/>
        <v/>
      </c>
      <c r="AA66" s="191">
        <f t="shared" si="9"/>
        <v>7</v>
      </c>
      <c r="AB66" s="70"/>
      <c r="AC66" s="175"/>
      <c r="AD66" s="177"/>
      <c r="AE66" s="175"/>
      <c r="AF66" s="180"/>
      <c r="AG66" s="180"/>
      <c r="AH66" s="180"/>
      <c r="AI66" s="180"/>
      <c r="AJ66" s="180"/>
      <c r="AK66" s="180" t="str">
        <f t="shared" ref="AK66:AK141" si="28">IF(AE66="","",(AE66*AF66)*-1)</f>
        <v/>
      </c>
      <c r="AL66" s="72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</row>
    <row r="67" ht="18.0" customHeight="1">
      <c r="A67" s="6"/>
      <c r="B67" s="206">
        <v>44358.0</v>
      </c>
      <c r="C67" s="176" t="s">
        <v>75</v>
      </c>
      <c r="D67" s="176" t="s">
        <v>79</v>
      </c>
      <c r="E67" s="176" t="s">
        <v>26</v>
      </c>
      <c r="F67" s="178" t="s">
        <v>27</v>
      </c>
      <c r="G67" s="206">
        <v>44365.0</v>
      </c>
      <c r="H67" s="179">
        <f>IFERROR(__xludf.DUMMYFUNCTION("GOOGLEFINANCE(D67,""price"")"),5.55)</f>
        <v>5.55</v>
      </c>
      <c r="I67" s="201">
        <v>49.0</v>
      </c>
      <c r="J67" s="181"/>
      <c r="K67" s="181"/>
      <c r="L67" s="181" t="str">
        <f t="shared" si="18"/>
        <v>Option Closed</v>
      </c>
      <c r="M67" s="212">
        <v>1.0</v>
      </c>
      <c r="N67" s="201">
        <v>0.51</v>
      </c>
      <c r="O67" s="183" t="s">
        <v>86</v>
      </c>
      <c r="P67" s="206">
        <v>44365.0</v>
      </c>
      <c r="Q67" s="184"/>
      <c r="R67" s="185">
        <f t="shared" si="19"/>
        <v>0.051</v>
      </c>
      <c r="S67" s="186">
        <f t="shared" si="26"/>
        <v>51</v>
      </c>
      <c r="T67" s="187">
        <f t="shared" si="27"/>
        <v>0</v>
      </c>
      <c r="U67" s="188">
        <f t="shared" si="22"/>
        <v>51</v>
      </c>
      <c r="V67" s="189">
        <f t="shared" si="23"/>
        <v>0.01040816327</v>
      </c>
      <c r="W67" s="190" t="str">
        <f>IFERROR(__xludf.DUMMYFUNCTION("if(D67="""","""",SPLIT(INDEX(IMPORTHTML(concatenate(""https://finance.yahoo.com/quote/"",D67),""table"",2),6,2),"" ""))"),"#REF!")</f>
        <v>#REF!</v>
      </c>
      <c r="X67" s="191"/>
      <c r="Y67" s="189" t="str">
        <f t="shared" si="24"/>
        <v/>
      </c>
      <c r="Z67" s="191" t="str">
        <f t="shared" si="8"/>
        <v/>
      </c>
      <c r="AA67" s="191">
        <f t="shared" si="9"/>
        <v>7</v>
      </c>
      <c r="AB67" s="70"/>
      <c r="AC67" s="175"/>
      <c r="AD67" s="177"/>
      <c r="AE67" s="175"/>
      <c r="AF67" s="180"/>
      <c r="AG67" s="180"/>
      <c r="AH67" s="180"/>
      <c r="AI67" s="180"/>
      <c r="AJ67" s="180"/>
      <c r="AK67" s="180" t="str">
        <f t="shared" si="28"/>
        <v/>
      </c>
      <c r="AL67" s="72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</row>
    <row r="68" ht="18.0" customHeight="1">
      <c r="A68" s="6"/>
      <c r="B68" s="206">
        <v>44358.0</v>
      </c>
      <c r="C68" s="176" t="s">
        <v>75</v>
      </c>
      <c r="D68" s="176" t="s">
        <v>76</v>
      </c>
      <c r="E68" s="176" t="s">
        <v>26</v>
      </c>
      <c r="F68" s="178" t="s">
        <v>27</v>
      </c>
      <c r="G68" s="206">
        <v>44365.0</v>
      </c>
      <c r="H68" s="179">
        <f>IFERROR(__xludf.DUMMYFUNCTION("GOOGLEFINANCE(D68,""price"")"),7.53)</f>
        <v>7.53</v>
      </c>
      <c r="I68" s="201">
        <v>119.0</v>
      </c>
      <c r="J68" s="181"/>
      <c r="K68" s="181"/>
      <c r="L68" s="181" t="str">
        <f t="shared" si="18"/>
        <v>Option Closed</v>
      </c>
      <c r="M68" s="212">
        <v>2.0</v>
      </c>
      <c r="N68" s="201">
        <v>0.75</v>
      </c>
      <c r="O68" s="183" t="s">
        <v>86</v>
      </c>
      <c r="P68" s="206">
        <v>44365.0</v>
      </c>
      <c r="Q68" s="184"/>
      <c r="R68" s="185">
        <f t="shared" si="19"/>
        <v>0.075</v>
      </c>
      <c r="S68" s="186">
        <f t="shared" si="26"/>
        <v>150</v>
      </c>
      <c r="T68" s="187">
        <f t="shared" si="27"/>
        <v>0</v>
      </c>
      <c r="U68" s="188">
        <f t="shared" si="22"/>
        <v>150</v>
      </c>
      <c r="V68" s="189">
        <f t="shared" si="23"/>
        <v>0.006302521008</v>
      </c>
      <c r="W68" s="190" t="str">
        <f>IFERROR(__xludf.DUMMYFUNCTION("if(D68="""","""",SPLIT(INDEX(IMPORTHTML(concatenate(""https://finance.yahoo.com/quote/"",D68),""table"",2),6,2),"" ""))"),"#REF!")</f>
        <v>#REF!</v>
      </c>
      <c r="X68" s="191"/>
      <c r="Y68" s="189" t="str">
        <f t="shared" si="24"/>
        <v/>
      </c>
      <c r="Z68" s="191" t="str">
        <f t="shared" si="8"/>
        <v/>
      </c>
      <c r="AA68" s="191">
        <f t="shared" si="9"/>
        <v>7</v>
      </c>
      <c r="AB68" s="70"/>
      <c r="AC68" s="175"/>
      <c r="AD68" s="177"/>
      <c r="AE68" s="175"/>
      <c r="AF68" s="180"/>
      <c r="AG68" s="180"/>
      <c r="AH68" s="180"/>
      <c r="AI68" s="180"/>
      <c r="AJ68" s="180"/>
      <c r="AK68" s="180" t="str">
        <f t="shared" si="28"/>
        <v/>
      </c>
      <c r="AL68" s="72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</row>
    <row r="69" ht="18.0" customHeight="1">
      <c r="A69" s="6"/>
      <c r="B69" s="206">
        <v>44358.0</v>
      </c>
      <c r="C69" s="176" t="s">
        <v>75</v>
      </c>
      <c r="D69" s="176" t="s">
        <v>85</v>
      </c>
      <c r="E69" s="176" t="s">
        <v>82</v>
      </c>
      <c r="F69" s="178" t="s">
        <v>27</v>
      </c>
      <c r="G69" s="206">
        <v>44365.0</v>
      </c>
      <c r="H69" s="179">
        <f>IFERROR(__xludf.DUMMYFUNCTION("GOOGLEFINANCE(D69,""price"")"),197.74)</f>
        <v>197.74</v>
      </c>
      <c r="I69" s="201">
        <v>79.5</v>
      </c>
      <c r="J69" s="181"/>
      <c r="K69" s="181"/>
      <c r="L69" s="181" t="str">
        <f t="shared" si="18"/>
        <v>Option Closed</v>
      </c>
      <c r="M69" s="182">
        <v>1.0</v>
      </c>
      <c r="N69" s="201">
        <v>0.61</v>
      </c>
      <c r="O69" s="183" t="s">
        <v>86</v>
      </c>
      <c r="P69" s="206">
        <v>44365.0</v>
      </c>
      <c r="Q69" s="184"/>
      <c r="R69" s="185">
        <f t="shared" si="19"/>
        <v>0.061</v>
      </c>
      <c r="S69" s="186">
        <f t="shared" si="26"/>
        <v>61</v>
      </c>
      <c r="T69" s="187">
        <f t="shared" si="27"/>
        <v>0</v>
      </c>
      <c r="U69" s="188">
        <f t="shared" si="22"/>
        <v>61</v>
      </c>
      <c r="V69" s="189">
        <f t="shared" si="23"/>
        <v>0.007672955975</v>
      </c>
      <c r="W69" s="190" t="str">
        <f>IFERROR(__xludf.DUMMYFUNCTION("if(D69="""","""",SPLIT(INDEX(IMPORTHTML(concatenate(""https://finance.yahoo.com/quote/"",D69),""table"",2),6,2),"" ""))"),"#REF!")</f>
        <v>#REF!</v>
      </c>
      <c r="X69" s="191"/>
      <c r="Y69" s="189" t="str">
        <f t="shared" si="24"/>
        <v/>
      </c>
      <c r="Z69" s="191" t="str">
        <f t="shared" si="8"/>
        <v/>
      </c>
      <c r="AA69" s="191">
        <f t="shared" si="9"/>
        <v>7</v>
      </c>
      <c r="AB69" s="70"/>
      <c r="AC69" s="175"/>
      <c r="AD69" s="177"/>
      <c r="AE69" s="175"/>
      <c r="AF69" s="180"/>
      <c r="AG69" s="180"/>
      <c r="AH69" s="180"/>
      <c r="AI69" s="180"/>
      <c r="AJ69" s="180"/>
      <c r="AK69" s="180" t="str">
        <f t="shared" si="28"/>
        <v/>
      </c>
      <c r="AL69" s="72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</row>
    <row r="70" ht="18.0" customHeight="1">
      <c r="A70" s="6"/>
      <c r="B70" s="206">
        <v>44361.0</v>
      </c>
      <c r="C70" s="176" t="s">
        <v>75</v>
      </c>
      <c r="D70" s="176" t="s">
        <v>84</v>
      </c>
      <c r="E70" s="176" t="s">
        <v>82</v>
      </c>
      <c r="F70" s="178" t="s">
        <v>27</v>
      </c>
      <c r="G70" s="206">
        <v>44365.0</v>
      </c>
      <c r="H70" s="179">
        <f>IFERROR(__xludf.DUMMYFUNCTION("GOOGLEFINANCE(D70,""price"")"),25.54)</f>
        <v>25.54</v>
      </c>
      <c r="I70" s="201">
        <v>50.0</v>
      </c>
      <c r="J70" s="181"/>
      <c r="K70" s="181"/>
      <c r="L70" s="181" t="str">
        <f t="shared" si="18"/>
        <v>Option Closed</v>
      </c>
      <c r="M70" s="212">
        <v>1.0</v>
      </c>
      <c r="N70" s="201">
        <v>0.54</v>
      </c>
      <c r="O70" s="183" t="s">
        <v>83</v>
      </c>
      <c r="P70" s="206">
        <v>44365.0</v>
      </c>
      <c r="Q70" s="184"/>
      <c r="R70" s="185">
        <f t="shared" si="19"/>
        <v>0.054</v>
      </c>
      <c r="S70" s="186">
        <f t="shared" si="26"/>
        <v>54</v>
      </c>
      <c r="T70" s="187">
        <f t="shared" si="27"/>
        <v>0</v>
      </c>
      <c r="U70" s="188">
        <f t="shared" si="22"/>
        <v>54</v>
      </c>
      <c r="V70" s="189">
        <f t="shared" si="23"/>
        <v>0.0108</v>
      </c>
      <c r="W70" s="190" t="str">
        <f>IFERROR(__xludf.DUMMYFUNCTION("if(D70="""","""",SPLIT(INDEX(IMPORTHTML(concatenate(""https://finance.yahoo.com/quote/"",D70),""table"",2),6,2),"" ""))"),"#REF!")</f>
        <v>#REF!</v>
      </c>
      <c r="X70" s="191"/>
      <c r="Y70" s="189" t="str">
        <f t="shared" si="24"/>
        <v/>
      </c>
      <c r="Z70" s="191" t="str">
        <f t="shared" si="8"/>
        <v/>
      </c>
      <c r="AA70" s="191">
        <f t="shared" si="9"/>
        <v>4</v>
      </c>
      <c r="AB70" s="70"/>
      <c r="AC70" s="175"/>
      <c r="AD70" s="177"/>
      <c r="AE70" s="175"/>
      <c r="AF70" s="180"/>
      <c r="AG70" s="180"/>
      <c r="AH70" s="180"/>
      <c r="AI70" s="180"/>
      <c r="AJ70" s="180"/>
      <c r="AK70" s="180" t="str">
        <f t="shared" si="28"/>
        <v/>
      </c>
      <c r="AL70" s="72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</row>
    <row r="71" ht="18.0" customHeight="1">
      <c r="A71" s="6"/>
      <c r="B71" s="206">
        <v>44361.0</v>
      </c>
      <c r="C71" s="176" t="s">
        <v>75</v>
      </c>
      <c r="D71" s="176" t="s">
        <v>87</v>
      </c>
      <c r="E71" s="176" t="s">
        <v>82</v>
      </c>
      <c r="F71" s="176" t="s">
        <v>27</v>
      </c>
      <c r="G71" s="206">
        <v>44358.0</v>
      </c>
      <c r="H71" s="179">
        <f>IFERROR(__xludf.DUMMYFUNCTION("GOOGLEFINANCE(D71,""price"")"),127.7)</f>
        <v>127.7</v>
      </c>
      <c r="I71" s="201">
        <v>143.0</v>
      </c>
      <c r="J71" s="181"/>
      <c r="K71" s="181"/>
      <c r="L71" s="181" t="str">
        <f t="shared" si="18"/>
        <v>Option Closed</v>
      </c>
      <c r="M71" s="212">
        <v>1.0</v>
      </c>
      <c r="N71" s="201">
        <v>0.85</v>
      </c>
      <c r="O71" s="183" t="s">
        <v>86</v>
      </c>
      <c r="P71" s="206">
        <v>44365.0</v>
      </c>
      <c r="Q71" s="184"/>
      <c r="R71" s="185">
        <f t="shared" si="19"/>
        <v>0.085</v>
      </c>
      <c r="S71" s="186">
        <f t="shared" si="26"/>
        <v>85</v>
      </c>
      <c r="T71" s="187">
        <f t="shared" si="27"/>
        <v>0</v>
      </c>
      <c r="U71" s="188">
        <f t="shared" si="22"/>
        <v>85</v>
      </c>
      <c r="V71" s="189">
        <f t="shared" si="23"/>
        <v>0.005944055944</v>
      </c>
      <c r="W71" s="190" t="str">
        <f>IFERROR(__xludf.DUMMYFUNCTION("if(D71="""","""",SPLIT(INDEX(IMPORTHTML(concatenate(""https://finance.yahoo.com/quote/"",D71),""table"",2),6,2),"" ""))"),"#REF!")</f>
        <v>#REF!</v>
      </c>
      <c r="X71" s="191"/>
      <c r="Y71" s="189" t="str">
        <f t="shared" si="24"/>
        <v/>
      </c>
      <c r="Z71" s="191" t="str">
        <f t="shared" si="8"/>
        <v/>
      </c>
      <c r="AA71" s="191">
        <f t="shared" si="9"/>
        <v>-3</v>
      </c>
      <c r="AB71" s="70"/>
      <c r="AC71" s="175"/>
      <c r="AD71" s="177"/>
      <c r="AE71" s="175"/>
      <c r="AF71" s="180"/>
      <c r="AG71" s="180"/>
      <c r="AH71" s="180"/>
      <c r="AI71" s="180"/>
      <c r="AJ71" s="180"/>
      <c r="AK71" s="180" t="str">
        <f t="shared" si="28"/>
        <v/>
      </c>
      <c r="AL71" s="72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</row>
    <row r="72" ht="18.0" customHeight="1">
      <c r="A72" s="6"/>
      <c r="B72" s="206">
        <v>44368.0</v>
      </c>
      <c r="C72" s="176" t="s">
        <v>91</v>
      </c>
      <c r="D72" s="176" t="s">
        <v>78</v>
      </c>
      <c r="E72" s="176" t="s">
        <v>26</v>
      </c>
      <c r="F72" s="176" t="s">
        <v>27</v>
      </c>
      <c r="G72" s="206">
        <v>44393.0</v>
      </c>
      <c r="H72" s="179">
        <f>IFERROR(__xludf.DUMMYFUNCTION("GOOGLEFINANCE(D72,""price"")"),720.66)</f>
        <v>720.66</v>
      </c>
      <c r="I72" s="201">
        <v>405.0</v>
      </c>
      <c r="J72" s="181"/>
      <c r="K72" s="181"/>
      <c r="L72" s="181" t="str">
        <f t="shared" si="18"/>
        <v>Option Closed</v>
      </c>
      <c r="M72" s="212">
        <v>6.0</v>
      </c>
      <c r="N72" s="201">
        <v>0.8</v>
      </c>
      <c r="O72" s="183" t="s">
        <v>45</v>
      </c>
      <c r="P72" s="206">
        <v>44393.0</v>
      </c>
      <c r="Q72" s="184">
        <v>0.1</v>
      </c>
      <c r="R72" s="185">
        <f t="shared" si="19"/>
        <v>0.08</v>
      </c>
      <c r="S72" s="186">
        <f t="shared" si="26"/>
        <v>480</v>
      </c>
      <c r="T72" s="187">
        <f t="shared" si="27"/>
        <v>-60</v>
      </c>
      <c r="U72" s="188">
        <f t="shared" si="22"/>
        <v>420</v>
      </c>
      <c r="V72" s="189">
        <f t="shared" si="23"/>
        <v>0.001975308642</v>
      </c>
      <c r="W72" s="190" t="str">
        <f>IFERROR(__xludf.DUMMYFUNCTION("if(D72="""","""",SPLIT(INDEX(IMPORTHTML(concatenate(""https://finance.yahoo.com/quote/"",D72),""table"",2),6,2),"" ""))"),"#REF!")</f>
        <v>#REF!</v>
      </c>
      <c r="X72" s="191"/>
      <c r="Y72" s="189" t="str">
        <f t="shared" si="24"/>
        <v/>
      </c>
      <c r="Z72" s="191" t="str">
        <f t="shared" si="8"/>
        <v/>
      </c>
      <c r="AA72" s="191">
        <f t="shared" si="9"/>
        <v>25</v>
      </c>
      <c r="AB72" s="70"/>
      <c r="AC72" s="175"/>
      <c r="AD72" s="177"/>
      <c r="AE72" s="175"/>
      <c r="AF72" s="180"/>
      <c r="AG72" s="180"/>
      <c r="AH72" s="180"/>
      <c r="AI72" s="180"/>
      <c r="AJ72" s="180"/>
      <c r="AK72" s="180" t="str">
        <f t="shared" si="28"/>
        <v/>
      </c>
      <c r="AL72" s="72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</row>
    <row r="73" ht="18.0" customHeight="1">
      <c r="A73" s="6"/>
      <c r="B73" s="206">
        <v>44368.0</v>
      </c>
      <c r="C73" s="176" t="s">
        <v>75</v>
      </c>
      <c r="D73" s="176" t="s">
        <v>76</v>
      </c>
      <c r="E73" s="176" t="s">
        <v>26</v>
      </c>
      <c r="F73" s="178" t="s">
        <v>27</v>
      </c>
      <c r="G73" s="206">
        <v>44372.0</v>
      </c>
      <c r="H73" s="179">
        <f>IFERROR(__xludf.DUMMYFUNCTION("GOOGLEFINANCE(D73,""price"")"),7.53)</f>
        <v>7.53</v>
      </c>
      <c r="I73" s="201">
        <v>123.0</v>
      </c>
      <c r="J73" s="181"/>
      <c r="K73" s="181"/>
      <c r="L73" s="181" t="str">
        <f t="shared" si="18"/>
        <v>Option Closed</v>
      </c>
      <c r="M73" s="212">
        <v>2.0</v>
      </c>
      <c r="N73" s="201">
        <v>0.65</v>
      </c>
      <c r="O73" s="183" t="s">
        <v>45</v>
      </c>
      <c r="P73" s="206">
        <v>44372.0</v>
      </c>
      <c r="Q73" s="184">
        <v>0.7</v>
      </c>
      <c r="R73" s="185">
        <f t="shared" si="19"/>
        <v>0.065</v>
      </c>
      <c r="S73" s="186">
        <f t="shared" si="26"/>
        <v>130</v>
      </c>
      <c r="T73" s="187">
        <f t="shared" si="27"/>
        <v>-140</v>
      </c>
      <c r="U73" s="188">
        <f t="shared" si="22"/>
        <v>-10</v>
      </c>
      <c r="V73" s="189">
        <f t="shared" si="23"/>
        <v>0.005284552846</v>
      </c>
      <c r="W73" s="190" t="str">
        <f>IFERROR(__xludf.DUMMYFUNCTION("if(D73="""","""",SPLIT(INDEX(IMPORTHTML(concatenate(""https://finance.yahoo.com/quote/"",D73),""table"",2),6,2),"" ""))"),"#REF!")</f>
        <v>#REF!</v>
      </c>
      <c r="X73" s="191"/>
      <c r="Y73" s="189" t="str">
        <f t="shared" si="24"/>
        <v/>
      </c>
      <c r="Z73" s="191" t="str">
        <f t="shared" si="8"/>
        <v/>
      </c>
      <c r="AA73" s="191">
        <f t="shared" si="9"/>
        <v>4</v>
      </c>
      <c r="AB73" s="70"/>
      <c r="AC73" s="175"/>
      <c r="AD73" s="177"/>
      <c r="AE73" s="175"/>
      <c r="AF73" s="180"/>
      <c r="AG73" s="180"/>
      <c r="AH73" s="180"/>
      <c r="AI73" s="180"/>
      <c r="AJ73" s="180"/>
      <c r="AK73" s="180" t="str">
        <f t="shared" si="28"/>
        <v/>
      </c>
      <c r="AL73" s="72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</row>
    <row r="74" ht="18.0" customHeight="1">
      <c r="A74" s="6"/>
      <c r="B74" s="206">
        <v>44368.0</v>
      </c>
      <c r="C74" s="176" t="s">
        <v>75</v>
      </c>
      <c r="D74" s="176" t="s">
        <v>47</v>
      </c>
      <c r="E74" s="176" t="s">
        <v>26</v>
      </c>
      <c r="F74" s="178" t="s">
        <v>27</v>
      </c>
      <c r="G74" s="206">
        <v>44393.0</v>
      </c>
      <c r="H74" s="179">
        <f>IFERROR(__xludf.DUMMYFUNCTION("GOOGLEFINANCE(D74,""price"")"),26.86)</f>
        <v>26.86</v>
      </c>
      <c r="I74" s="201">
        <v>40.5</v>
      </c>
      <c r="J74" s="181"/>
      <c r="K74" s="181"/>
      <c r="L74" s="181" t="str">
        <f t="shared" si="18"/>
        <v>Option Closed</v>
      </c>
      <c r="M74" s="212">
        <v>1.0</v>
      </c>
      <c r="N74" s="201">
        <v>0.3</v>
      </c>
      <c r="O74" s="183" t="s">
        <v>86</v>
      </c>
      <c r="P74" s="206"/>
      <c r="Q74" s="184"/>
      <c r="R74" s="185">
        <f t="shared" si="19"/>
        <v>0.03</v>
      </c>
      <c r="S74" s="186">
        <f t="shared" si="26"/>
        <v>30</v>
      </c>
      <c r="T74" s="187">
        <f t="shared" si="27"/>
        <v>0</v>
      </c>
      <c r="U74" s="188">
        <f t="shared" si="22"/>
        <v>30</v>
      </c>
      <c r="V74" s="189">
        <f t="shared" si="23"/>
        <v>0.007407407407</v>
      </c>
      <c r="W74" s="190" t="str">
        <f>IFERROR(__xludf.DUMMYFUNCTION("if(D74="""","""",SPLIT(INDEX(IMPORTHTML(concatenate(""https://finance.yahoo.com/quote/"",D74),""table"",2),6,2),"" ""))"),"#REF!")</f>
        <v>#REF!</v>
      </c>
      <c r="X74" s="191"/>
      <c r="Y74" s="189" t="str">
        <f t="shared" si="24"/>
        <v/>
      </c>
      <c r="Z74" s="191" t="str">
        <f t="shared" si="8"/>
        <v/>
      </c>
      <c r="AA74" s="191">
        <f t="shared" si="9"/>
        <v>25</v>
      </c>
      <c r="AB74" s="70"/>
      <c r="AC74" s="175"/>
      <c r="AD74" s="177"/>
      <c r="AE74" s="175"/>
      <c r="AF74" s="180"/>
      <c r="AG74" s="180"/>
      <c r="AH74" s="180"/>
      <c r="AI74" s="180"/>
      <c r="AJ74" s="180"/>
      <c r="AK74" s="180" t="str">
        <f t="shared" si="28"/>
        <v/>
      </c>
      <c r="AL74" s="72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</row>
    <row r="75" ht="18.0" customHeight="1">
      <c r="A75" s="6"/>
      <c r="B75" s="206">
        <v>44368.0</v>
      </c>
      <c r="C75" s="176" t="s">
        <v>75</v>
      </c>
      <c r="D75" s="176" t="s">
        <v>84</v>
      </c>
      <c r="E75" s="176" t="s">
        <v>26</v>
      </c>
      <c r="F75" s="178" t="s">
        <v>27</v>
      </c>
      <c r="G75" s="206">
        <v>44372.0</v>
      </c>
      <c r="H75" s="179">
        <f>IFERROR(__xludf.DUMMYFUNCTION("GOOGLEFINANCE(D75,""price"")"),25.54)</f>
        <v>25.54</v>
      </c>
      <c r="I75" s="201">
        <v>51.0</v>
      </c>
      <c r="J75" s="181"/>
      <c r="K75" s="181"/>
      <c r="L75" s="181" t="str">
        <f t="shared" si="18"/>
        <v>Option Closed</v>
      </c>
      <c r="M75" s="212">
        <v>1.0</v>
      </c>
      <c r="N75" s="201">
        <v>0.45</v>
      </c>
      <c r="O75" s="183" t="s">
        <v>83</v>
      </c>
      <c r="P75" s="206">
        <v>44372.0</v>
      </c>
      <c r="Q75" s="184"/>
      <c r="R75" s="185">
        <f t="shared" si="19"/>
        <v>0.045</v>
      </c>
      <c r="S75" s="186">
        <f t="shared" si="26"/>
        <v>45</v>
      </c>
      <c r="T75" s="187">
        <f t="shared" si="27"/>
        <v>0</v>
      </c>
      <c r="U75" s="188">
        <f t="shared" si="22"/>
        <v>45</v>
      </c>
      <c r="V75" s="189">
        <f t="shared" si="23"/>
        <v>0.008823529412</v>
      </c>
      <c r="W75" s="190" t="str">
        <f>IFERROR(__xludf.DUMMYFUNCTION("if(D75="""","""",SPLIT(INDEX(IMPORTHTML(concatenate(""https://finance.yahoo.com/quote/"",D75),""table"",2),6,2),"" ""))"),"#REF!")</f>
        <v>#REF!</v>
      </c>
      <c r="X75" s="191"/>
      <c r="Y75" s="189" t="str">
        <f t="shared" si="24"/>
        <v/>
      </c>
      <c r="Z75" s="191" t="str">
        <f t="shared" si="8"/>
        <v/>
      </c>
      <c r="AA75" s="191">
        <f t="shared" si="9"/>
        <v>4</v>
      </c>
      <c r="AB75" s="70"/>
      <c r="AC75" s="175"/>
      <c r="AD75" s="177"/>
      <c r="AE75" s="175"/>
      <c r="AF75" s="180"/>
      <c r="AG75" s="180"/>
      <c r="AH75" s="180"/>
      <c r="AI75" s="180"/>
      <c r="AJ75" s="180"/>
      <c r="AK75" s="180" t="str">
        <f t="shared" si="28"/>
        <v/>
      </c>
      <c r="AL75" s="72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</row>
    <row r="76" ht="18.0" customHeight="1">
      <c r="A76" s="6"/>
      <c r="B76" s="206">
        <v>44371.0</v>
      </c>
      <c r="C76" s="176" t="s">
        <v>75</v>
      </c>
      <c r="D76" s="176" t="s">
        <v>44</v>
      </c>
      <c r="E76" s="176" t="s">
        <v>26</v>
      </c>
      <c r="F76" s="178" t="s">
        <v>27</v>
      </c>
      <c r="G76" s="206">
        <v>44393.0</v>
      </c>
      <c r="H76" s="179">
        <f>IFERROR(__xludf.DUMMYFUNCTION("GOOGLEFINANCE(D76,""price"")"),75.25)</f>
        <v>75.25</v>
      </c>
      <c r="I76" s="201">
        <v>46.0</v>
      </c>
      <c r="J76" s="181"/>
      <c r="K76" s="181"/>
      <c r="L76" s="181" t="str">
        <f t="shared" si="18"/>
        <v>Option Closed</v>
      </c>
      <c r="M76" s="212">
        <v>1.0</v>
      </c>
      <c r="N76" s="201">
        <v>0.75</v>
      </c>
      <c r="O76" s="183" t="s">
        <v>86</v>
      </c>
      <c r="P76" s="206"/>
      <c r="Q76" s="184"/>
      <c r="R76" s="185">
        <f t="shared" si="19"/>
        <v>0.075</v>
      </c>
      <c r="S76" s="186">
        <f t="shared" si="26"/>
        <v>75</v>
      </c>
      <c r="T76" s="187">
        <f t="shared" si="27"/>
        <v>0</v>
      </c>
      <c r="U76" s="188">
        <f t="shared" si="22"/>
        <v>75</v>
      </c>
      <c r="V76" s="189">
        <f t="shared" si="23"/>
        <v>0.01630434783</v>
      </c>
      <c r="W76" s="190" t="str">
        <f>IFERROR(__xludf.DUMMYFUNCTION("if(D76="""","""",SPLIT(INDEX(IMPORTHTML(concatenate(""https://finance.yahoo.com/quote/"",D76),""table"",2),6,2),"" ""))"),"#REF!")</f>
        <v>#REF!</v>
      </c>
      <c r="X76" s="191"/>
      <c r="Y76" s="189" t="str">
        <f t="shared" si="24"/>
        <v/>
      </c>
      <c r="Z76" s="191" t="str">
        <f t="shared" si="8"/>
        <v/>
      </c>
      <c r="AA76" s="191">
        <f t="shared" si="9"/>
        <v>22</v>
      </c>
      <c r="AB76" s="70"/>
      <c r="AC76" s="175"/>
      <c r="AD76" s="177"/>
      <c r="AE76" s="175"/>
      <c r="AF76" s="180"/>
      <c r="AG76" s="180"/>
      <c r="AH76" s="180"/>
      <c r="AI76" s="180"/>
      <c r="AJ76" s="180"/>
      <c r="AK76" s="180" t="str">
        <f t="shared" si="28"/>
        <v/>
      </c>
      <c r="AL76" s="72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</row>
    <row r="77" ht="18.0" customHeight="1">
      <c r="A77" s="6"/>
      <c r="B77" s="206">
        <v>44371.0</v>
      </c>
      <c r="C77" s="176" t="s">
        <v>75</v>
      </c>
      <c r="D77" s="176" t="s">
        <v>77</v>
      </c>
      <c r="E77" s="176" t="s">
        <v>26</v>
      </c>
      <c r="F77" s="178" t="s">
        <v>27</v>
      </c>
      <c r="G77" s="206">
        <v>44379.0</v>
      </c>
      <c r="H77" s="179">
        <f>IFERROR(__xludf.DUMMYFUNCTION("GOOGLEFINANCE(D77,""price"")"),8.76)</f>
        <v>8.76</v>
      </c>
      <c r="I77" s="201">
        <v>31.5</v>
      </c>
      <c r="J77" s="181"/>
      <c r="K77" s="181"/>
      <c r="L77" s="181" t="str">
        <f t="shared" si="18"/>
        <v>Option Closed</v>
      </c>
      <c r="M77" s="212">
        <v>3.0</v>
      </c>
      <c r="N77" s="201">
        <v>0.5</v>
      </c>
      <c r="O77" s="183" t="s">
        <v>86</v>
      </c>
      <c r="P77" s="206"/>
      <c r="Q77" s="184"/>
      <c r="R77" s="185">
        <f t="shared" si="19"/>
        <v>0.05</v>
      </c>
      <c r="S77" s="186">
        <f t="shared" si="26"/>
        <v>150</v>
      </c>
      <c r="T77" s="187">
        <f t="shared" si="27"/>
        <v>0</v>
      </c>
      <c r="U77" s="188">
        <f t="shared" si="22"/>
        <v>150</v>
      </c>
      <c r="V77" s="189">
        <f t="shared" si="23"/>
        <v>0.01587301587</v>
      </c>
      <c r="W77" s="190" t="str">
        <f>IFERROR(__xludf.DUMMYFUNCTION("if(D77="""","""",SPLIT(INDEX(IMPORTHTML(concatenate(""https://finance.yahoo.com/quote/"",D77),""table"",2),6,2),"" ""))"),"#REF!")</f>
        <v>#REF!</v>
      </c>
      <c r="X77" s="191"/>
      <c r="Y77" s="189" t="str">
        <f t="shared" si="24"/>
        <v/>
      </c>
      <c r="Z77" s="191" t="str">
        <f t="shared" si="8"/>
        <v/>
      </c>
      <c r="AA77" s="191">
        <f t="shared" si="9"/>
        <v>8</v>
      </c>
      <c r="AB77" s="70"/>
      <c r="AC77" s="175"/>
      <c r="AD77" s="177"/>
      <c r="AE77" s="175"/>
      <c r="AF77" s="180"/>
      <c r="AG77" s="180"/>
      <c r="AH77" s="180"/>
      <c r="AI77" s="180"/>
      <c r="AJ77" s="180"/>
      <c r="AK77" s="180" t="str">
        <f t="shared" si="28"/>
        <v/>
      </c>
      <c r="AL77" s="72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</row>
    <row r="78" ht="18.0" customHeight="1">
      <c r="A78" s="6"/>
      <c r="B78" s="206">
        <v>44371.0</v>
      </c>
      <c r="C78" s="176" t="s">
        <v>91</v>
      </c>
      <c r="D78" s="176" t="s">
        <v>99</v>
      </c>
      <c r="E78" s="176" t="s">
        <v>26</v>
      </c>
      <c r="F78" s="178" t="s">
        <v>27</v>
      </c>
      <c r="G78" s="206">
        <v>44393.0</v>
      </c>
      <c r="H78" s="179">
        <f>IFERROR(__xludf.DUMMYFUNCTION("GOOGLEFINANCE(D78,""price"")"),365.93)</f>
        <v>365.93</v>
      </c>
      <c r="I78" s="201">
        <v>320.0</v>
      </c>
      <c r="J78" s="181"/>
      <c r="K78" s="181"/>
      <c r="L78" s="181" t="str">
        <f t="shared" si="18"/>
        <v>Option Closed</v>
      </c>
      <c r="M78" s="212">
        <v>2.0</v>
      </c>
      <c r="N78" s="201">
        <v>1.0</v>
      </c>
      <c r="O78" s="183" t="s">
        <v>86</v>
      </c>
      <c r="P78" s="206"/>
      <c r="Q78" s="184"/>
      <c r="R78" s="185">
        <f t="shared" si="19"/>
        <v>0.1</v>
      </c>
      <c r="S78" s="186">
        <f t="shared" si="26"/>
        <v>200</v>
      </c>
      <c r="T78" s="187">
        <f t="shared" si="27"/>
        <v>0</v>
      </c>
      <c r="U78" s="188">
        <f t="shared" si="22"/>
        <v>200</v>
      </c>
      <c r="V78" s="189">
        <f t="shared" si="23"/>
        <v>0.003125</v>
      </c>
      <c r="W78" s="190" t="str">
        <f>IFERROR(__xludf.DUMMYFUNCTION("if(D78="""","""",SPLIT(INDEX(IMPORTHTML(concatenate(""https://finance.yahoo.com/quote/"",D78),""table"",2),6,2),"" ""))"),"#REF!")</f>
        <v>#REF!</v>
      </c>
      <c r="X78" s="191"/>
      <c r="Y78" s="189" t="str">
        <f t="shared" si="24"/>
        <v/>
      </c>
      <c r="Z78" s="191" t="str">
        <f t="shared" si="8"/>
        <v/>
      </c>
      <c r="AA78" s="191">
        <f t="shared" si="9"/>
        <v>22</v>
      </c>
      <c r="AB78" s="70"/>
      <c r="AC78" s="175"/>
      <c r="AD78" s="177"/>
      <c r="AE78" s="175"/>
      <c r="AF78" s="180"/>
      <c r="AG78" s="180"/>
      <c r="AH78" s="180"/>
      <c r="AI78" s="180"/>
      <c r="AJ78" s="180"/>
      <c r="AK78" s="180" t="str">
        <f t="shared" si="28"/>
        <v/>
      </c>
      <c r="AL78" s="72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</row>
    <row r="79" ht="18.0" customHeight="1">
      <c r="A79" s="6"/>
      <c r="B79" s="206">
        <v>44375.0</v>
      </c>
      <c r="C79" s="176" t="s">
        <v>75</v>
      </c>
      <c r="D79" s="176" t="s">
        <v>79</v>
      </c>
      <c r="E79" s="176" t="s">
        <v>82</v>
      </c>
      <c r="F79" s="178" t="s">
        <v>27</v>
      </c>
      <c r="G79" s="206">
        <v>44379.0</v>
      </c>
      <c r="H79" s="179">
        <f>IFERROR(__xludf.DUMMYFUNCTION("GOOGLEFINANCE(D79,""price"")"),5.55)</f>
        <v>5.55</v>
      </c>
      <c r="I79" s="201">
        <v>43.0</v>
      </c>
      <c r="J79" s="181"/>
      <c r="K79" s="181"/>
      <c r="L79" s="181" t="str">
        <f t="shared" si="18"/>
        <v>Option Closed</v>
      </c>
      <c r="M79" s="212">
        <v>1.0</v>
      </c>
      <c r="N79" s="201">
        <v>0.3</v>
      </c>
      <c r="O79" s="183" t="s">
        <v>86</v>
      </c>
      <c r="P79" s="206"/>
      <c r="Q79" s="184"/>
      <c r="R79" s="185">
        <f t="shared" si="19"/>
        <v>0.03</v>
      </c>
      <c r="S79" s="186">
        <f t="shared" si="26"/>
        <v>30</v>
      </c>
      <c r="T79" s="187">
        <f t="shared" si="27"/>
        <v>0</v>
      </c>
      <c r="U79" s="188">
        <f t="shared" si="22"/>
        <v>30</v>
      </c>
      <c r="V79" s="189">
        <f t="shared" si="23"/>
        <v>0.006976744186</v>
      </c>
      <c r="W79" s="190" t="str">
        <f>IFERROR(__xludf.DUMMYFUNCTION("if(D79="""","""",SPLIT(INDEX(IMPORTHTML(concatenate(""https://finance.yahoo.com/quote/"",D79),""table"",2),6,2),"" ""))"),"#REF!")</f>
        <v>#REF!</v>
      </c>
      <c r="X79" s="191"/>
      <c r="Y79" s="189" t="str">
        <f t="shared" si="24"/>
        <v/>
      </c>
      <c r="Z79" s="191" t="str">
        <f t="shared" si="8"/>
        <v/>
      </c>
      <c r="AA79" s="191">
        <f t="shared" si="9"/>
        <v>4</v>
      </c>
      <c r="AB79" s="70"/>
      <c r="AC79" s="175"/>
      <c r="AD79" s="177"/>
      <c r="AE79" s="175"/>
      <c r="AF79" s="180"/>
      <c r="AG79" s="180"/>
      <c r="AH79" s="180"/>
      <c r="AI79" s="180"/>
      <c r="AJ79" s="180"/>
      <c r="AK79" s="180" t="str">
        <f t="shared" si="28"/>
        <v/>
      </c>
      <c r="AL79" s="72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</row>
    <row r="80" ht="18.0" customHeight="1">
      <c r="A80" s="6"/>
      <c r="B80" s="206">
        <v>44375.0</v>
      </c>
      <c r="C80" s="176" t="s">
        <v>75</v>
      </c>
      <c r="D80" s="176" t="s">
        <v>84</v>
      </c>
      <c r="E80" s="176" t="s">
        <v>82</v>
      </c>
      <c r="F80" s="178" t="s">
        <v>27</v>
      </c>
      <c r="G80" s="206">
        <v>44379.0</v>
      </c>
      <c r="H80" s="179">
        <f>IFERROR(__xludf.DUMMYFUNCTION("GOOGLEFINANCE(D80,""price"")"),25.54)</f>
        <v>25.54</v>
      </c>
      <c r="I80" s="201">
        <v>49.0</v>
      </c>
      <c r="J80" s="181"/>
      <c r="K80" s="181"/>
      <c r="L80" s="181" t="str">
        <f t="shared" si="18"/>
        <v>Option Closed</v>
      </c>
      <c r="M80" s="212">
        <v>1.0</v>
      </c>
      <c r="N80" s="201">
        <v>0.4</v>
      </c>
      <c r="O80" s="183" t="s">
        <v>86</v>
      </c>
      <c r="P80" s="206"/>
      <c r="Q80" s="184"/>
      <c r="R80" s="185">
        <f t="shared" si="19"/>
        <v>0.04</v>
      </c>
      <c r="S80" s="186">
        <f t="shared" si="26"/>
        <v>40</v>
      </c>
      <c r="T80" s="187">
        <f t="shared" si="27"/>
        <v>0</v>
      </c>
      <c r="U80" s="188">
        <f t="shared" si="22"/>
        <v>40</v>
      </c>
      <c r="V80" s="189">
        <f t="shared" si="23"/>
        <v>0.008163265306</v>
      </c>
      <c r="W80" s="190" t="str">
        <f>IFERROR(__xludf.DUMMYFUNCTION("if(D80="""","""",SPLIT(INDEX(IMPORTHTML(concatenate(""https://finance.yahoo.com/quote/"",D80),""table"",2),6,2),"" ""))"),"#REF!")</f>
        <v>#REF!</v>
      </c>
      <c r="X80" s="191"/>
      <c r="Y80" s="189" t="str">
        <f t="shared" si="24"/>
        <v/>
      </c>
      <c r="Z80" s="191" t="str">
        <f t="shared" si="8"/>
        <v/>
      </c>
      <c r="AA80" s="191">
        <f t="shared" si="9"/>
        <v>4</v>
      </c>
      <c r="AB80" s="70"/>
      <c r="AC80" s="175"/>
      <c r="AD80" s="177"/>
      <c r="AE80" s="175"/>
      <c r="AF80" s="180"/>
      <c r="AG80" s="180"/>
      <c r="AH80" s="180"/>
      <c r="AI80" s="180"/>
      <c r="AJ80" s="180"/>
      <c r="AK80" s="180" t="str">
        <f t="shared" si="28"/>
        <v/>
      </c>
      <c r="AL80" s="72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</row>
    <row r="81" ht="18.0" customHeight="1">
      <c r="A81" s="6"/>
      <c r="B81" s="206">
        <v>44375.0</v>
      </c>
      <c r="C81" s="176" t="s">
        <v>75</v>
      </c>
      <c r="D81" s="176" t="s">
        <v>76</v>
      </c>
      <c r="E81" s="176" t="s">
        <v>26</v>
      </c>
      <c r="F81" s="178" t="s">
        <v>27</v>
      </c>
      <c r="G81" s="206">
        <v>44379.0</v>
      </c>
      <c r="H81" s="179">
        <f>IFERROR(__xludf.DUMMYFUNCTION("GOOGLEFINANCE(D81,""price"")"),7.53)</f>
        <v>7.53</v>
      </c>
      <c r="I81" s="201">
        <v>135.0</v>
      </c>
      <c r="J81" s="181"/>
      <c r="K81" s="181"/>
      <c r="L81" s="181" t="str">
        <f t="shared" si="18"/>
        <v>Option Closed</v>
      </c>
      <c r="M81" s="212">
        <v>2.0</v>
      </c>
      <c r="N81" s="201">
        <v>0.4</v>
      </c>
      <c r="O81" s="183" t="s">
        <v>86</v>
      </c>
      <c r="P81" s="206"/>
      <c r="Q81" s="184"/>
      <c r="R81" s="185">
        <f t="shared" si="19"/>
        <v>0.04</v>
      </c>
      <c r="S81" s="186">
        <f t="shared" si="26"/>
        <v>80</v>
      </c>
      <c r="T81" s="187">
        <f t="shared" si="27"/>
        <v>0</v>
      </c>
      <c r="U81" s="188">
        <f t="shared" si="22"/>
        <v>80</v>
      </c>
      <c r="V81" s="189">
        <f t="shared" si="23"/>
        <v>0.002962962963</v>
      </c>
      <c r="W81" s="190" t="str">
        <f>IFERROR(__xludf.DUMMYFUNCTION("if(D81="""","""",SPLIT(INDEX(IMPORTHTML(concatenate(""https://finance.yahoo.com/quote/"",D81),""table"",2),6,2),"" ""))"),"#REF!")</f>
        <v>#REF!</v>
      </c>
      <c r="X81" s="191"/>
      <c r="Y81" s="189" t="str">
        <f t="shared" si="24"/>
        <v/>
      </c>
      <c r="Z81" s="191" t="str">
        <f t="shared" si="8"/>
        <v/>
      </c>
      <c r="AA81" s="191">
        <f t="shared" si="9"/>
        <v>4</v>
      </c>
      <c r="AB81" s="70"/>
      <c r="AC81" s="175"/>
      <c r="AD81" s="177"/>
      <c r="AE81" s="175"/>
      <c r="AF81" s="180"/>
      <c r="AG81" s="180"/>
      <c r="AH81" s="180"/>
      <c r="AI81" s="180"/>
      <c r="AJ81" s="180"/>
      <c r="AK81" s="180" t="str">
        <f t="shared" si="28"/>
        <v/>
      </c>
      <c r="AL81" s="72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</row>
    <row r="82" ht="18.0" customHeight="1">
      <c r="A82" s="6"/>
      <c r="B82" s="206">
        <v>44383.0</v>
      </c>
      <c r="C82" s="176" t="s">
        <v>75</v>
      </c>
      <c r="D82" s="176" t="s">
        <v>79</v>
      </c>
      <c r="E82" s="176" t="s">
        <v>26</v>
      </c>
      <c r="F82" s="178" t="s">
        <v>27</v>
      </c>
      <c r="G82" s="206">
        <v>44386.0</v>
      </c>
      <c r="H82" s="179">
        <f>IFERROR(__xludf.DUMMYFUNCTION("GOOGLEFINANCE(D82,""price"")"),5.55)</f>
        <v>5.55</v>
      </c>
      <c r="I82" s="201">
        <v>57.0</v>
      </c>
      <c r="J82" s="181"/>
      <c r="K82" s="181"/>
      <c r="L82" s="181" t="str">
        <f t="shared" si="18"/>
        <v>Option Closed</v>
      </c>
      <c r="M82" s="212">
        <v>1.0</v>
      </c>
      <c r="N82" s="201">
        <v>0.35</v>
      </c>
      <c r="O82" s="183" t="s">
        <v>86</v>
      </c>
      <c r="P82" s="206"/>
      <c r="Q82" s="184"/>
      <c r="R82" s="185">
        <f t="shared" si="19"/>
        <v>0.035</v>
      </c>
      <c r="S82" s="186">
        <f t="shared" si="26"/>
        <v>35</v>
      </c>
      <c r="T82" s="187">
        <f t="shared" si="27"/>
        <v>0</v>
      </c>
      <c r="U82" s="188">
        <f t="shared" si="22"/>
        <v>35</v>
      </c>
      <c r="V82" s="189">
        <f t="shared" si="23"/>
        <v>0.006140350877</v>
      </c>
      <c r="W82" s="190" t="str">
        <f>IFERROR(__xludf.DUMMYFUNCTION("if(D82="""","""",SPLIT(INDEX(IMPORTHTML(concatenate(""https://finance.yahoo.com/quote/"",D82),""table"",2),6,2),"" ""))"),"#REF!")</f>
        <v>#REF!</v>
      </c>
      <c r="X82" s="191"/>
      <c r="Y82" s="189" t="str">
        <f t="shared" si="24"/>
        <v/>
      </c>
      <c r="Z82" s="191" t="str">
        <f t="shared" si="8"/>
        <v/>
      </c>
      <c r="AA82" s="191">
        <f t="shared" si="9"/>
        <v>3</v>
      </c>
      <c r="AB82" s="70"/>
      <c r="AC82" s="175"/>
      <c r="AD82" s="177"/>
      <c r="AE82" s="175"/>
      <c r="AF82" s="180"/>
      <c r="AG82" s="180"/>
      <c r="AH82" s="180"/>
      <c r="AI82" s="180"/>
      <c r="AJ82" s="180"/>
      <c r="AK82" s="180" t="str">
        <f t="shared" si="28"/>
        <v/>
      </c>
      <c r="AL82" s="72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</row>
    <row r="83" ht="18.0" customHeight="1">
      <c r="A83" s="6"/>
      <c r="B83" s="206">
        <v>44384.0</v>
      </c>
      <c r="C83" s="176" t="s">
        <v>75</v>
      </c>
      <c r="D83" s="176" t="s">
        <v>79</v>
      </c>
      <c r="E83" s="176" t="s">
        <v>82</v>
      </c>
      <c r="F83" s="178" t="s">
        <v>27</v>
      </c>
      <c r="G83" s="206">
        <v>44386.0</v>
      </c>
      <c r="H83" s="179">
        <f>IFERROR(__xludf.DUMMYFUNCTION("GOOGLEFINANCE(D83,""price"")"),5.55)</f>
        <v>5.55</v>
      </c>
      <c r="I83" s="201">
        <v>47.0</v>
      </c>
      <c r="J83" s="181"/>
      <c r="K83" s="181"/>
      <c r="L83" s="181" t="str">
        <f t="shared" si="18"/>
        <v>Option Closed</v>
      </c>
      <c r="M83" s="212">
        <v>1.0</v>
      </c>
      <c r="N83" s="201">
        <v>0.5</v>
      </c>
      <c r="O83" s="183" t="s">
        <v>83</v>
      </c>
      <c r="P83" s="206">
        <v>44386.0</v>
      </c>
      <c r="Q83" s="184"/>
      <c r="R83" s="185">
        <f t="shared" si="19"/>
        <v>0.05</v>
      </c>
      <c r="S83" s="186">
        <f t="shared" si="26"/>
        <v>50</v>
      </c>
      <c r="T83" s="187">
        <f t="shared" si="27"/>
        <v>0</v>
      </c>
      <c r="U83" s="188">
        <f t="shared" si="22"/>
        <v>50</v>
      </c>
      <c r="V83" s="189">
        <f t="shared" si="23"/>
        <v>0.01063829787</v>
      </c>
      <c r="W83" s="190" t="str">
        <f>IFERROR(__xludf.DUMMYFUNCTION("if(D83="""","""",SPLIT(INDEX(IMPORTHTML(concatenate(""https://finance.yahoo.com/quote/"",D83),""table"",2),6,2),"" ""))"),"#REF!")</f>
        <v>#REF!</v>
      </c>
      <c r="X83" s="191"/>
      <c r="Y83" s="189" t="str">
        <f t="shared" si="24"/>
        <v/>
      </c>
      <c r="Z83" s="191" t="str">
        <f t="shared" si="8"/>
        <v/>
      </c>
      <c r="AA83" s="191">
        <f t="shared" si="9"/>
        <v>2</v>
      </c>
      <c r="AB83" s="70"/>
      <c r="AC83" s="175"/>
      <c r="AD83" s="177"/>
      <c r="AE83" s="175"/>
      <c r="AF83" s="180"/>
      <c r="AG83" s="180"/>
      <c r="AH83" s="180"/>
      <c r="AI83" s="180"/>
      <c r="AJ83" s="180"/>
      <c r="AK83" s="180" t="str">
        <f t="shared" si="28"/>
        <v/>
      </c>
      <c r="AL83" s="72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</row>
    <row r="84" ht="18.0" customHeight="1">
      <c r="A84" s="6"/>
      <c r="B84" s="206">
        <v>44389.0</v>
      </c>
      <c r="C84" s="176" t="s">
        <v>75</v>
      </c>
      <c r="D84" s="176" t="s">
        <v>79</v>
      </c>
      <c r="E84" s="176" t="s">
        <v>26</v>
      </c>
      <c r="F84" s="178" t="s">
        <v>27</v>
      </c>
      <c r="G84" s="206">
        <v>44393.0</v>
      </c>
      <c r="H84" s="179">
        <f>IFERROR(__xludf.DUMMYFUNCTION("GOOGLEFINANCE(D84,""price"")"),5.55)</f>
        <v>5.55</v>
      </c>
      <c r="I84" s="201">
        <v>50.5</v>
      </c>
      <c r="J84" s="181"/>
      <c r="K84" s="181"/>
      <c r="L84" s="181" t="str">
        <f t="shared" si="18"/>
        <v>Option Closed</v>
      </c>
      <c r="M84" s="212">
        <v>1.0</v>
      </c>
      <c r="N84" s="201">
        <v>0.8</v>
      </c>
      <c r="O84" s="183" t="s">
        <v>45</v>
      </c>
      <c r="P84" s="206">
        <v>44393.0</v>
      </c>
      <c r="Q84" s="184">
        <v>0.01</v>
      </c>
      <c r="R84" s="185">
        <f t="shared" si="19"/>
        <v>0.08</v>
      </c>
      <c r="S84" s="186">
        <f t="shared" si="26"/>
        <v>80</v>
      </c>
      <c r="T84" s="187">
        <f t="shared" si="27"/>
        <v>-1</v>
      </c>
      <c r="U84" s="188">
        <f t="shared" si="22"/>
        <v>79</v>
      </c>
      <c r="V84" s="189">
        <f t="shared" si="23"/>
        <v>0.01584158416</v>
      </c>
      <c r="W84" s="190" t="str">
        <f>IFERROR(__xludf.DUMMYFUNCTION("if(D84="""","""",SPLIT(INDEX(IMPORTHTML(concatenate(""https://finance.yahoo.com/quote/"",D84),""table"",2),6,2),"" ""))"),"#REF!")</f>
        <v>#REF!</v>
      </c>
      <c r="X84" s="191"/>
      <c r="Y84" s="189" t="str">
        <f t="shared" si="24"/>
        <v/>
      </c>
      <c r="Z84" s="191" t="str">
        <f t="shared" si="8"/>
        <v/>
      </c>
      <c r="AA84" s="191">
        <f t="shared" si="9"/>
        <v>4</v>
      </c>
      <c r="AB84" s="70"/>
      <c r="AC84" s="175"/>
      <c r="AD84" s="177"/>
      <c r="AE84" s="175"/>
      <c r="AF84" s="180"/>
      <c r="AG84" s="180"/>
      <c r="AH84" s="180"/>
      <c r="AI84" s="180"/>
      <c r="AJ84" s="180"/>
      <c r="AK84" s="180" t="str">
        <f t="shared" si="28"/>
        <v/>
      </c>
      <c r="AL84" s="72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</row>
    <row r="85" ht="18.0" customHeight="1">
      <c r="A85" s="6"/>
      <c r="B85" s="206">
        <v>44393.0</v>
      </c>
      <c r="C85" s="176" t="s">
        <v>75</v>
      </c>
      <c r="D85" s="176" t="s">
        <v>76</v>
      </c>
      <c r="E85" s="176" t="s">
        <v>26</v>
      </c>
      <c r="F85" s="178" t="s">
        <v>27</v>
      </c>
      <c r="G85" s="206">
        <v>44400.0</v>
      </c>
      <c r="H85" s="179">
        <f>IFERROR(__xludf.DUMMYFUNCTION("GOOGLEFINANCE(D85,""price"")"),7.53)</f>
        <v>7.53</v>
      </c>
      <c r="I85" s="201">
        <v>121.0</v>
      </c>
      <c r="J85" s="181"/>
      <c r="K85" s="181"/>
      <c r="L85" s="181" t="str">
        <f t="shared" si="18"/>
        <v>Option Closed</v>
      </c>
      <c r="M85" s="212">
        <v>2.0</v>
      </c>
      <c r="N85" s="201">
        <v>0.9</v>
      </c>
      <c r="O85" s="183" t="s">
        <v>83</v>
      </c>
      <c r="P85" s="206">
        <v>44400.0</v>
      </c>
      <c r="Q85" s="184"/>
      <c r="R85" s="185">
        <f t="shared" si="19"/>
        <v>0.09</v>
      </c>
      <c r="S85" s="186">
        <f t="shared" si="26"/>
        <v>180</v>
      </c>
      <c r="T85" s="187">
        <f t="shared" si="27"/>
        <v>0</v>
      </c>
      <c r="U85" s="188">
        <f t="shared" si="22"/>
        <v>180</v>
      </c>
      <c r="V85" s="189">
        <f t="shared" si="23"/>
        <v>0.007438016529</v>
      </c>
      <c r="W85" s="190" t="str">
        <f>IFERROR(__xludf.DUMMYFUNCTION("if(D85="""","""",SPLIT(INDEX(IMPORTHTML(concatenate(""https://finance.yahoo.com/quote/"",D85),""table"",2),6,2),"" ""))"),"#REF!")</f>
        <v>#REF!</v>
      </c>
      <c r="X85" s="191"/>
      <c r="Y85" s="189" t="str">
        <f t="shared" si="24"/>
        <v/>
      </c>
      <c r="Z85" s="191" t="str">
        <f t="shared" si="8"/>
        <v/>
      </c>
      <c r="AA85" s="191">
        <f t="shared" si="9"/>
        <v>7</v>
      </c>
      <c r="AB85" s="70"/>
      <c r="AC85" s="175"/>
      <c r="AD85" s="177"/>
      <c r="AE85" s="175"/>
      <c r="AF85" s="180"/>
      <c r="AG85" s="180"/>
      <c r="AH85" s="180"/>
      <c r="AI85" s="180"/>
      <c r="AJ85" s="180"/>
      <c r="AK85" s="180" t="str">
        <f t="shared" si="28"/>
        <v/>
      </c>
      <c r="AL85" s="72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</row>
    <row r="86" ht="18.0" customHeight="1">
      <c r="A86" s="6"/>
      <c r="B86" s="206">
        <v>44393.0</v>
      </c>
      <c r="C86" s="176" t="s">
        <v>75</v>
      </c>
      <c r="D86" s="176" t="s">
        <v>84</v>
      </c>
      <c r="E86" s="176" t="s">
        <v>82</v>
      </c>
      <c r="F86" s="178" t="s">
        <v>27</v>
      </c>
      <c r="G86" s="206">
        <v>44400.0</v>
      </c>
      <c r="H86" s="179">
        <f>IFERROR(__xludf.DUMMYFUNCTION("GOOGLEFINANCE(D86,""price"")"),25.54)</f>
        <v>25.54</v>
      </c>
      <c r="I86" s="201">
        <v>43.0</v>
      </c>
      <c r="J86" s="181"/>
      <c r="K86" s="181"/>
      <c r="L86" s="181" t="str">
        <f t="shared" si="18"/>
        <v>Option Closed</v>
      </c>
      <c r="M86" s="212">
        <v>1.0</v>
      </c>
      <c r="N86" s="201">
        <v>0.65</v>
      </c>
      <c r="O86" s="183" t="s">
        <v>86</v>
      </c>
      <c r="P86" s="206"/>
      <c r="Q86" s="184"/>
      <c r="R86" s="185">
        <f t="shared" si="19"/>
        <v>0.065</v>
      </c>
      <c r="S86" s="186">
        <f t="shared" si="26"/>
        <v>65</v>
      </c>
      <c r="T86" s="187">
        <f t="shared" si="27"/>
        <v>0</v>
      </c>
      <c r="U86" s="188">
        <f t="shared" si="22"/>
        <v>65</v>
      </c>
      <c r="V86" s="189">
        <f t="shared" si="23"/>
        <v>0.01511627907</v>
      </c>
      <c r="W86" s="190" t="str">
        <f>IFERROR(__xludf.DUMMYFUNCTION("if(D86="""","""",SPLIT(INDEX(IMPORTHTML(concatenate(""https://finance.yahoo.com/quote/"",D86),""table"",2),6,2),"" ""))"),"#REF!")</f>
        <v>#REF!</v>
      </c>
      <c r="X86" s="191"/>
      <c r="Y86" s="189" t="str">
        <f t="shared" si="24"/>
        <v/>
      </c>
      <c r="Z86" s="191" t="str">
        <f t="shared" si="8"/>
        <v/>
      </c>
      <c r="AA86" s="191">
        <f t="shared" si="9"/>
        <v>7</v>
      </c>
      <c r="AB86" s="70"/>
      <c r="AC86" s="175"/>
      <c r="AD86" s="177"/>
      <c r="AE86" s="175"/>
      <c r="AF86" s="180"/>
      <c r="AG86" s="180"/>
      <c r="AH86" s="180"/>
      <c r="AI86" s="180"/>
      <c r="AJ86" s="180"/>
      <c r="AK86" s="180" t="str">
        <f t="shared" si="28"/>
        <v/>
      </c>
      <c r="AL86" s="72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</row>
    <row r="87" ht="18.0" customHeight="1">
      <c r="A87" s="6"/>
      <c r="B87" s="206">
        <v>44393.0</v>
      </c>
      <c r="C87" s="176" t="s">
        <v>75</v>
      </c>
      <c r="D87" s="176" t="s">
        <v>87</v>
      </c>
      <c r="E87" s="176" t="s">
        <v>82</v>
      </c>
      <c r="F87" s="176" t="s">
        <v>27</v>
      </c>
      <c r="G87" s="206">
        <v>44400.0</v>
      </c>
      <c r="H87" s="179">
        <f>IFERROR(__xludf.DUMMYFUNCTION("GOOGLEFINANCE(D87,""price"")"),127.7)</f>
        <v>127.7</v>
      </c>
      <c r="I87" s="201">
        <v>130.0</v>
      </c>
      <c r="J87" s="181"/>
      <c r="K87" s="181"/>
      <c r="L87" s="181" t="str">
        <f t="shared" si="18"/>
        <v>Option Closed</v>
      </c>
      <c r="M87" s="212">
        <v>1.0</v>
      </c>
      <c r="N87" s="201">
        <v>1.0</v>
      </c>
      <c r="O87" s="183" t="s">
        <v>86</v>
      </c>
      <c r="P87" s="206"/>
      <c r="Q87" s="184"/>
      <c r="R87" s="185">
        <f t="shared" si="19"/>
        <v>0.1</v>
      </c>
      <c r="S87" s="186">
        <f t="shared" si="26"/>
        <v>100</v>
      </c>
      <c r="T87" s="187">
        <f t="shared" si="27"/>
        <v>0</v>
      </c>
      <c r="U87" s="188">
        <f t="shared" si="22"/>
        <v>100</v>
      </c>
      <c r="V87" s="189">
        <f t="shared" si="23"/>
        <v>0.007692307692</v>
      </c>
      <c r="W87" s="190" t="str">
        <f>IFERROR(__xludf.DUMMYFUNCTION("if(D87="""","""",SPLIT(INDEX(IMPORTHTML(concatenate(""https://finance.yahoo.com/quote/"",D87),""table"",2),6,2),"" ""))"),"#REF!")</f>
        <v>#REF!</v>
      </c>
      <c r="X87" s="191"/>
      <c r="Y87" s="189" t="str">
        <f t="shared" si="24"/>
        <v/>
      </c>
      <c r="Z87" s="191" t="str">
        <f t="shared" si="8"/>
        <v/>
      </c>
      <c r="AA87" s="191">
        <f t="shared" si="9"/>
        <v>7</v>
      </c>
      <c r="AB87" s="70"/>
      <c r="AC87" s="175"/>
      <c r="AD87" s="177"/>
      <c r="AE87" s="175"/>
      <c r="AF87" s="180"/>
      <c r="AG87" s="180"/>
      <c r="AH87" s="180"/>
      <c r="AI87" s="180"/>
      <c r="AJ87" s="180"/>
      <c r="AK87" s="180" t="str">
        <f t="shared" si="28"/>
        <v/>
      </c>
      <c r="AL87" s="72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</row>
    <row r="88" ht="18.0" customHeight="1">
      <c r="A88" s="6"/>
      <c r="B88" s="206">
        <v>44396.0</v>
      </c>
      <c r="C88" s="176" t="s">
        <v>75</v>
      </c>
      <c r="D88" s="176" t="s">
        <v>47</v>
      </c>
      <c r="E88" s="176" t="s">
        <v>26</v>
      </c>
      <c r="F88" s="176" t="s">
        <v>27</v>
      </c>
      <c r="G88" s="206">
        <v>44428.0</v>
      </c>
      <c r="H88" s="179">
        <f>IFERROR(__xludf.DUMMYFUNCTION("GOOGLEFINANCE(D88,""price"")"),26.86)</f>
        <v>26.86</v>
      </c>
      <c r="I88" s="201">
        <v>41.0</v>
      </c>
      <c r="J88" s="181"/>
      <c r="K88" s="181"/>
      <c r="L88" s="181" t="str">
        <f t="shared" si="18"/>
        <v>Option Closed</v>
      </c>
      <c r="M88" s="212">
        <v>1.0</v>
      </c>
      <c r="N88" s="201">
        <v>0.8</v>
      </c>
      <c r="O88" s="183" t="s">
        <v>83</v>
      </c>
      <c r="P88" s="206"/>
      <c r="Q88" s="184"/>
      <c r="R88" s="185">
        <f t="shared" si="19"/>
        <v>0.08</v>
      </c>
      <c r="S88" s="186">
        <f t="shared" si="26"/>
        <v>80</v>
      </c>
      <c r="T88" s="187">
        <f t="shared" si="27"/>
        <v>0</v>
      </c>
      <c r="U88" s="188">
        <f t="shared" si="22"/>
        <v>80</v>
      </c>
      <c r="V88" s="189">
        <f t="shared" si="23"/>
        <v>0.01951219512</v>
      </c>
      <c r="W88" s="190" t="str">
        <f>IFERROR(__xludf.DUMMYFUNCTION("if(D88="""","""",SPLIT(INDEX(IMPORTHTML(concatenate(""https://finance.yahoo.com/quote/"",D88),""table"",2),6,2),"" ""))"),"#REF!")</f>
        <v>#REF!</v>
      </c>
      <c r="X88" s="191"/>
      <c r="Y88" s="189" t="str">
        <f t="shared" si="24"/>
        <v/>
      </c>
      <c r="Z88" s="191" t="str">
        <f t="shared" si="8"/>
        <v/>
      </c>
      <c r="AA88" s="191">
        <f t="shared" si="9"/>
        <v>32</v>
      </c>
      <c r="AB88" s="70"/>
      <c r="AC88" s="175"/>
      <c r="AD88" s="177"/>
      <c r="AE88" s="175"/>
      <c r="AF88" s="180"/>
      <c r="AG88" s="180"/>
      <c r="AH88" s="180"/>
      <c r="AI88" s="180"/>
      <c r="AJ88" s="180"/>
      <c r="AK88" s="180" t="str">
        <f t="shared" si="28"/>
        <v/>
      </c>
      <c r="AL88" s="72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</row>
    <row r="89" ht="18.0" customHeight="1">
      <c r="A89" s="6"/>
      <c r="B89" s="206">
        <v>44397.0</v>
      </c>
      <c r="C89" s="176" t="s">
        <v>75</v>
      </c>
      <c r="D89" s="176" t="s">
        <v>44</v>
      </c>
      <c r="E89" s="176" t="s">
        <v>26</v>
      </c>
      <c r="F89" s="176" t="s">
        <v>27</v>
      </c>
      <c r="G89" s="206">
        <v>44428.0</v>
      </c>
      <c r="H89" s="179">
        <f>IFERROR(__xludf.DUMMYFUNCTION("GOOGLEFINANCE(D89,""price"")"),75.25)</f>
        <v>75.25</v>
      </c>
      <c r="I89" s="201">
        <v>47.0</v>
      </c>
      <c r="J89" s="181"/>
      <c r="K89" s="181"/>
      <c r="L89" s="181" t="str">
        <f t="shared" si="18"/>
        <v>Option Closed</v>
      </c>
      <c r="M89" s="212">
        <v>1.0</v>
      </c>
      <c r="N89" s="201">
        <v>0.8</v>
      </c>
      <c r="O89" s="183" t="s">
        <v>83</v>
      </c>
      <c r="P89" s="206">
        <v>44428.0</v>
      </c>
      <c r="Q89" s="184"/>
      <c r="R89" s="185">
        <f t="shared" si="19"/>
        <v>0.08</v>
      </c>
      <c r="S89" s="186">
        <f t="shared" si="26"/>
        <v>80</v>
      </c>
      <c r="T89" s="187">
        <f t="shared" si="27"/>
        <v>0</v>
      </c>
      <c r="U89" s="188">
        <f t="shared" si="22"/>
        <v>80</v>
      </c>
      <c r="V89" s="189">
        <f t="shared" si="23"/>
        <v>0.0170212766</v>
      </c>
      <c r="W89" s="190" t="str">
        <f>IFERROR(__xludf.DUMMYFUNCTION("if(D89="""","""",SPLIT(INDEX(IMPORTHTML(concatenate(""https://finance.yahoo.com/quote/"",D89),""table"",2),6,2),"" ""))"),"#REF!")</f>
        <v>#REF!</v>
      </c>
      <c r="X89" s="191"/>
      <c r="Y89" s="189" t="str">
        <f t="shared" si="24"/>
        <v/>
      </c>
      <c r="Z89" s="191" t="str">
        <f t="shared" si="8"/>
        <v/>
      </c>
      <c r="AA89" s="191">
        <f t="shared" si="9"/>
        <v>31</v>
      </c>
      <c r="AB89" s="70"/>
      <c r="AC89" s="175"/>
      <c r="AD89" s="177"/>
      <c r="AE89" s="175"/>
      <c r="AF89" s="180"/>
      <c r="AG89" s="180"/>
      <c r="AH89" s="180"/>
      <c r="AI89" s="180"/>
      <c r="AJ89" s="180"/>
      <c r="AK89" s="180" t="str">
        <f t="shared" si="28"/>
        <v/>
      </c>
      <c r="AL89" s="72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</row>
    <row r="90" ht="18.0" customHeight="1">
      <c r="A90" s="6"/>
      <c r="B90" s="206">
        <v>44396.0</v>
      </c>
      <c r="C90" s="176" t="s">
        <v>75</v>
      </c>
      <c r="D90" s="176" t="s">
        <v>79</v>
      </c>
      <c r="E90" s="176" t="s">
        <v>26</v>
      </c>
      <c r="F90" s="178" t="s">
        <v>27</v>
      </c>
      <c r="G90" s="206">
        <v>44400.0</v>
      </c>
      <c r="H90" s="179">
        <f>IFERROR(__xludf.DUMMYFUNCTION("GOOGLEFINANCE(D90,""price"")"),5.55)</f>
        <v>5.55</v>
      </c>
      <c r="I90" s="201">
        <v>47.0</v>
      </c>
      <c r="J90" s="181"/>
      <c r="K90" s="181"/>
      <c r="L90" s="181" t="str">
        <f t="shared" si="18"/>
        <v>Option Closed</v>
      </c>
      <c r="M90" s="212">
        <v>2.0</v>
      </c>
      <c r="N90" s="201">
        <v>0.3</v>
      </c>
      <c r="O90" s="183" t="s">
        <v>45</v>
      </c>
      <c r="P90" s="215">
        <v>44400.0</v>
      </c>
      <c r="Q90" s="184">
        <v>0.02</v>
      </c>
      <c r="R90" s="185">
        <f t="shared" si="19"/>
        <v>0.03</v>
      </c>
      <c r="S90" s="186">
        <f t="shared" si="26"/>
        <v>60</v>
      </c>
      <c r="T90" s="187">
        <f t="shared" si="27"/>
        <v>-4</v>
      </c>
      <c r="U90" s="188">
        <f t="shared" si="22"/>
        <v>56</v>
      </c>
      <c r="V90" s="189">
        <f t="shared" si="23"/>
        <v>0.006382978723</v>
      </c>
      <c r="W90" s="190" t="str">
        <f>IFERROR(__xludf.DUMMYFUNCTION("if(D90="""","""",SPLIT(INDEX(IMPORTHTML(concatenate(""https://finance.yahoo.com/quote/"",D90),""table"",2),6,2),"" ""))"),"#REF!")</f>
        <v>#REF!</v>
      </c>
      <c r="X90" s="191"/>
      <c r="Y90" s="189" t="str">
        <f t="shared" si="24"/>
        <v/>
      </c>
      <c r="Z90" s="191" t="str">
        <f t="shared" si="8"/>
        <v/>
      </c>
      <c r="AA90" s="191">
        <f t="shared" si="9"/>
        <v>4</v>
      </c>
      <c r="AB90" s="70"/>
      <c r="AC90" s="175"/>
      <c r="AD90" s="177"/>
      <c r="AE90" s="175"/>
      <c r="AF90" s="180"/>
      <c r="AG90" s="180"/>
      <c r="AH90" s="180"/>
      <c r="AI90" s="180"/>
      <c r="AJ90" s="180"/>
      <c r="AK90" s="180" t="str">
        <f t="shared" si="28"/>
        <v/>
      </c>
      <c r="AL90" s="72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</row>
    <row r="91" ht="18.0" customHeight="1">
      <c r="A91" s="6"/>
      <c r="B91" s="206">
        <v>44397.0</v>
      </c>
      <c r="C91" s="176" t="s">
        <v>91</v>
      </c>
      <c r="D91" s="176" t="s">
        <v>99</v>
      </c>
      <c r="E91" s="176" t="s">
        <v>26</v>
      </c>
      <c r="F91" s="178" t="s">
        <v>27</v>
      </c>
      <c r="G91" s="206">
        <v>44428.0</v>
      </c>
      <c r="H91" s="179">
        <f>IFERROR(__xludf.DUMMYFUNCTION("GOOGLEFINANCE(D91,""price"")"),365.93)</f>
        <v>365.93</v>
      </c>
      <c r="I91" s="201">
        <v>330.0</v>
      </c>
      <c r="J91" s="181"/>
      <c r="K91" s="181"/>
      <c r="L91" s="181" t="str">
        <f t="shared" si="18"/>
        <v>Option Closed</v>
      </c>
      <c r="M91" s="212">
        <v>3.0</v>
      </c>
      <c r="N91" s="201">
        <v>1.0</v>
      </c>
      <c r="O91" s="183" t="s">
        <v>86</v>
      </c>
      <c r="P91" s="206"/>
      <c r="Q91" s="184"/>
      <c r="R91" s="185">
        <f t="shared" si="19"/>
        <v>0.1</v>
      </c>
      <c r="S91" s="186">
        <f t="shared" si="26"/>
        <v>300</v>
      </c>
      <c r="T91" s="187">
        <f t="shared" si="27"/>
        <v>0</v>
      </c>
      <c r="U91" s="188">
        <f t="shared" si="22"/>
        <v>300</v>
      </c>
      <c r="V91" s="189">
        <f t="shared" si="23"/>
        <v>0.00303030303</v>
      </c>
      <c r="W91" s="190" t="str">
        <f>IFERROR(__xludf.DUMMYFUNCTION("if(D91="""","""",SPLIT(INDEX(IMPORTHTML(concatenate(""https://finance.yahoo.com/quote/"",D91),""table"",2),6,2),"" ""))"),"#REF!")</f>
        <v>#REF!</v>
      </c>
      <c r="X91" s="191"/>
      <c r="Y91" s="189" t="str">
        <f t="shared" si="24"/>
        <v/>
      </c>
      <c r="Z91" s="191" t="str">
        <f t="shared" si="8"/>
        <v/>
      </c>
      <c r="AA91" s="191">
        <f t="shared" si="9"/>
        <v>31</v>
      </c>
      <c r="AB91" s="70"/>
      <c r="AC91" s="175"/>
      <c r="AD91" s="177"/>
      <c r="AE91" s="175"/>
      <c r="AF91" s="180"/>
      <c r="AG91" s="180"/>
      <c r="AH91" s="180"/>
      <c r="AI91" s="180"/>
      <c r="AJ91" s="180"/>
      <c r="AK91" s="180" t="str">
        <f t="shared" si="28"/>
        <v/>
      </c>
      <c r="AL91" s="72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</row>
    <row r="92" ht="18.0" customHeight="1">
      <c r="A92" s="6"/>
      <c r="B92" s="206">
        <v>44400.0</v>
      </c>
      <c r="C92" s="176" t="s">
        <v>75</v>
      </c>
      <c r="D92" s="176" t="s">
        <v>87</v>
      </c>
      <c r="E92" s="176" t="s">
        <v>82</v>
      </c>
      <c r="F92" s="176" t="s">
        <v>27</v>
      </c>
      <c r="G92" s="206">
        <v>44407.0</v>
      </c>
      <c r="H92" s="179">
        <f>IFERROR(__xludf.DUMMYFUNCTION("GOOGLEFINANCE(D92,""price"")"),127.7)</f>
        <v>127.7</v>
      </c>
      <c r="I92" s="201">
        <v>132.0</v>
      </c>
      <c r="J92" s="181"/>
      <c r="K92" s="181"/>
      <c r="L92" s="181" t="str">
        <f t="shared" si="18"/>
        <v>Option Closed</v>
      </c>
      <c r="M92" s="212">
        <v>1.0</v>
      </c>
      <c r="N92" s="201">
        <v>1.0</v>
      </c>
      <c r="O92" s="183" t="s">
        <v>45</v>
      </c>
      <c r="P92" s="206">
        <v>44406.0</v>
      </c>
      <c r="Q92" s="184">
        <v>0.05</v>
      </c>
      <c r="R92" s="185">
        <f t="shared" si="19"/>
        <v>0.1</v>
      </c>
      <c r="S92" s="186">
        <f t="shared" si="26"/>
        <v>100</v>
      </c>
      <c r="T92" s="187">
        <f t="shared" si="27"/>
        <v>-5</v>
      </c>
      <c r="U92" s="188">
        <f t="shared" si="22"/>
        <v>95</v>
      </c>
      <c r="V92" s="189">
        <f t="shared" si="23"/>
        <v>0.007575757576</v>
      </c>
      <c r="W92" s="190" t="str">
        <f>IFERROR(__xludf.DUMMYFUNCTION("if(D92="""","""",SPLIT(INDEX(IMPORTHTML(concatenate(""https://finance.yahoo.com/quote/"",D92),""table"",2),6,2),"" ""))"),"#REF!")</f>
        <v>#REF!</v>
      </c>
      <c r="X92" s="191"/>
      <c r="Y92" s="189" t="str">
        <f t="shared" si="24"/>
        <v/>
      </c>
      <c r="Z92" s="191" t="str">
        <f t="shared" si="8"/>
        <v/>
      </c>
      <c r="AA92" s="191">
        <f t="shared" si="9"/>
        <v>6</v>
      </c>
      <c r="AB92" s="70"/>
      <c r="AC92" s="175"/>
      <c r="AD92" s="177"/>
      <c r="AE92" s="175"/>
      <c r="AF92" s="180"/>
      <c r="AG92" s="180"/>
      <c r="AH92" s="180"/>
      <c r="AI92" s="180"/>
      <c r="AJ92" s="180"/>
      <c r="AK92" s="180" t="str">
        <f t="shared" si="28"/>
        <v/>
      </c>
      <c r="AL92" s="72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</row>
    <row r="93" ht="18.0" customHeight="1">
      <c r="A93" s="6"/>
      <c r="B93" s="206">
        <v>44400.0</v>
      </c>
      <c r="C93" s="176" t="s">
        <v>75</v>
      </c>
      <c r="D93" s="176" t="s">
        <v>85</v>
      </c>
      <c r="E93" s="176" t="s">
        <v>82</v>
      </c>
      <c r="F93" s="176" t="s">
        <v>27</v>
      </c>
      <c r="G93" s="206">
        <v>44407.0</v>
      </c>
      <c r="H93" s="179">
        <f>IFERROR(__xludf.DUMMYFUNCTION("GOOGLEFINANCE(D93,""price"")"),197.74)</f>
        <v>197.74</v>
      </c>
      <c r="I93" s="201">
        <v>85.5</v>
      </c>
      <c r="J93" s="181"/>
      <c r="K93" s="181"/>
      <c r="L93" s="181" t="str">
        <f t="shared" si="18"/>
        <v>Option Closed</v>
      </c>
      <c r="M93" s="212">
        <v>1.0</v>
      </c>
      <c r="N93" s="201">
        <v>1.0</v>
      </c>
      <c r="O93" s="183" t="s">
        <v>86</v>
      </c>
      <c r="P93" s="206"/>
      <c r="Q93" s="184"/>
      <c r="R93" s="185">
        <f t="shared" si="19"/>
        <v>0.1</v>
      </c>
      <c r="S93" s="186">
        <f t="shared" si="26"/>
        <v>100</v>
      </c>
      <c r="T93" s="187">
        <f t="shared" si="27"/>
        <v>0</v>
      </c>
      <c r="U93" s="188">
        <f t="shared" si="22"/>
        <v>100</v>
      </c>
      <c r="V93" s="189">
        <f t="shared" si="23"/>
        <v>0.01169590643</v>
      </c>
      <c r="W93" s="190" t="str">
        <f>IFERROR(__xludf.DUMMYFUNCTION("if(D93="""","""",SPLIT(INDEX(IMPORTHTML(concatenate(""https://finance.yahoo.com/quote/"",D93),""table"",2),6,2),"" ""))"),"#REF!")</f>
        <v>#REF!</v>
      </c>
      <c r="X93" s="191"/>
      <c r="Y93" s="189" t="str">
        <f t="shared" si="24"/>
        <v/>
      </c>
      <c r="Z93" s="191" t="str">
        <f t="shared" si="8"/>
        <v/>
      </c>
      <c r="AA93" s="191">
        <f t="shared" si="9"/>
        <v>7</v>
      </c>
      <c r="AB93" s="70"/>
      <c r="AC93" s="175"/>
      <c r="AD93" s="177"/>
      <c r="AE93" s="175"/>
      <c r="AF93" s="180"/>
      <c r="AG93" s="180"/>
      <c r="AH93" s="180"/>
      <c r="AI93" s="180"/>
      <c r="AJ93" s="180"/>
      <c r="AK93" s="180" t="str">
        <f t="shared" si="28"/>
        <v/>
      </c>
      <c r="AL93" s="72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</row>
    <row r="94" ht="18.0" customHeight="1">
      <c r="A94" s="6"/>
      <c r="B94" s="206">
        <v>44403.0</v>
      </c>
      <c r="C94" s="176" t="s">
        <v>75</v>
      </c>
      <c r="D94" s="176" t="s">
        <v>77</v>
      </c>
      <c r="E94" s="176" t="s">
        <v>26</v>
      </c>
      <c r="F94" s="176" t="s">
        <v>27</v>
      </c>
      <c r="G94" s="206">
        <v>44407.0</v>
      </c>
      <c r="H94" s="179">
        <f>IFERROR(__xludf.DUMMYFUNCTION("GOOGLEFINANCE(D94,""price"")"),8.76)</f>
        <v>8.76</v>
      </c>
      <c r="I94" s="201">
        <v>32.5</v>
      </c>
      <c r="J94" s="181"/>
      <c r="K94" s="181"/>
      <c r="L94" s="181" t="str">
        <f t="shared" si="18"/>
        <v>Option Closed</v>
      </c>
      <c r="M94" s="212">
        <v>3.0</v>
      </c>
      <c r="N94" s="201">
        <v>0.5</v>
      </c>
      <c r="O94" s="183" t="s">
        <v>45</v>
      </c>
      <c r="P94" s="206">
        <v>44407.0</v>
      </c>
      <c r="Q94" s="184">
        <v>0.03</v>
      </c>
      <c r="R94" s="185">
        <f t="shared" si="19"/>
        <v>0.05</v>
      </c>
      <c r="S94" s="186">
        <f t="shared" si="26"/>
        <v>150</v>
      </c>
      <c r="T94" s="187">
        <f t="shared" si="27"/>
        <v>-9</v>
      </c>
      <c r="U94" s="188">
        <f t="shared" si="22"/>
        <v>141</v>
      </c>
      <c r="V94" s="189">
        <f t="shared" si="23"/>
        <v>0.01538461538</v>
      </c>
      <c r="W94" s="190" t="str">
        <f>IFERROR(__xludf.DUMMYFUNCTION("if(D94="""","""",SPLIT(INDEX(IMPORTHTML(concatenate(""https://finance.yahoo.com/quote/"",D94),""table"",2),6,2),"" ""))"),"#REF!")</f>
        <v>#REF!</v>
      </c>
      <c r="X94" s="191"/>
      <c r="Y94" s="189" t="str">
        <f t="shared" si="24"/>
        <v/>
      </c>
      <c r="Z94" s="191" t="str">
        <f t="shared" si="8"/>
        <v/>
      </c>
      <c r="AA94" s="191">
        <f t="shared" si="9"/>
        <v>4</v>
      </c>
      <c r="AB94" s="70"/>
      <c r="AC94" s="175"/>
      <c r="AD94" s="177"/>
      <c r="AE94" s="175"/>
      <c r="AF94" s="180"/>
      <c r="AG94" s="180"/>
      <c r="AH94" s="180"/>
      <c r="AI94" s="180"/>
      <c r="AJ94" s="180"/>
      <c r="AK94" s="180" t="str">
        <f t="shared" si="28"/>
        <v/>
      </c>
      <c r="AL94" s="72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</row>
    <row r="95" ht="18.0" customHeight="1">
      <c r="A95" s="6"/>
      <c r="B95" s="206">
        <v>44403.0</v>
      </c>
      <c r="C95" s="176" t="s">
        <v>75</v>
      </c>
      <c r="D95" s="176" t="s">
        <v>76</v>
      </c>
      <c r="E95" s="176" t="s">
        <v>26</v>
      </c>
      <c r="F95" s="176" t="s">
        <v>27</v>
      </c>
      <c r="G95" s="206">
        <v>44407.0</v>
      </c>
      <c r="H95" s="179">
        <f>IFERROR(__xludf.DUMMYFUNCTION("GOOGLEFINANCE(D95,""price"")"),7.53)</f>
        <v>7.53</v>
      </c>
      <c r="I95" s="201">
        <v>126.5</v>
      </c>
      <c r="J95" s="181"/>
      <c r="K95" s="181"/>
      <c r="L95" s="181" t="str">
        <f t="shared" si="18"/>
        <v>Option Closed</v>
      </c>
      <c r="M95" s="212">
        <v>2.0</v>
      </c>
      <c r="N95" s="201">
        <v>0.8</v>
      </c>
      <c r="O95" s="183" t="s">
        <v>86</v>
      </c>
      <c r="P95" s="206"/>
      <c r="Q95" s="184"/>
      <c r="R95" s="185">
        <f t="shared" si="19"/>
        <v>0.08</v>
      </c>
      <c r="S95" s="186">
        <f t="shared" si="26"/>
        <v>160</v>
      </c>
      <c r="T95" s="187">
        <f t="shared" si="27"/>
        <v>0</v>
      </c>
      <c r="U95" s="188">
        <f t="shared" si="22"/>
        <v>160</v>
      </c>
      <c r="V95" s="189">
        <f t="shared" si="23"/>
        <v>0.006324110672</v>
      </c>
      <c r="W95" s="190" t="str">
        <f>IFERROR(__xludf.DUMMYFUNCTION("if(D95="""","""",SPLIT(INDEX(IMPORTHTML(concatenate(""https://finance.yahoo.com/quote/"",D95),""table"",2),6,2),"" ""))"),"#REF!")</f>
        <v>#REF!</v>
      </c>
      <c r="X95" s="191"/>
      <c r="Y95" s="189" t="str">
        <f t="shared" si="24"/>
        <v/>
      </c>
      <c r="Z95" s="191" t="str">
        <f t="shared" si="8"/>
        <v/>
      </c>
      <c r="AA95" s="191">
        <f t="shared" si="9"/>
        <v>4</v>
      </c>
      <c r="AB95" s="70"/>
      <c r="AC95" s="175"/>
      <c r="AD95" s="177"/>
      <c r="AE95" s="175"/>
      <c r="AF95" s="180"/>
      <c r="AG95" s="180"/>
      <c r="AH95" s="180"/>
      <c r="AI95" s="180"/>
      <c r="AJ95" s="180"/>
      <c r="AK95" s="180" t="str">
        <f t="shared" si="28"/>
        <v/>
      </c>
      <c r="AL95" s="72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</row>
    <row r="96" ht="18.0" customHeight="1">
      <c r="A96" s="6"/>
      <c r="B96" s="206">
        <v>44406.0</v>
      </c>
      <c r="C96" s="176" t="s">
        <v>75</v>
      </c>
      <c r="D96" s="176" t="s">
        <v>85</v>
      </c>
      <c r="E96" s="176" t="s">
        <v>82</v>
      </c>
      <c r="F96" s="176" t="s">
        <v>27</v>
      </c>
      <c r="G96" s="206">
        <v>44414.0</v>
      </c>
      <c r="H96" s="179">
        <f>IFERROR(__xludf.DUMMYFUNCTION("GOOGLEFINANCE(D96,""price"")"),197.74)</f>
        <v>197.74</v>
      </c>
      <c r="I96" s="201">
        <v>98.0</v>
      </c>
      <c r="J96" s="181"/>
      <c r="K96" s="181"/>
      <c r="L96" s="181" t="str">
        <f t="shared" si="18"/>
        <v>Option Closed</v>
      </c>
      <c r="M96" s="212">
        <v>1.0</v>
      </c>
      <c r="N96" s="201">
        <v>1.1</v>
      </c>
      <c r="O96" s="183" t="s">
        <v>86</v>
      </c>
      <c r="P96" s="206"/>
      <c r="Q96" s="184"/>
      <c r="R96" s="185">
        <f t="shared" si="19"/>
        <v>0.11</v>
      </c>
      <c r="S96" s="186">
        <f t="shared" si="26"/>
        <v>110</v>
      </c>
      <c r="T96" s="187">
        <f t="shared" si="27"/>
        <v>0</v>
      </c>
      <c r="U96" s="188">
        <f t="shared" si="22"/>
        <v>110</v>
      </c>
      <c r="V96" s="189">
        <f t="shared" si="23"/>
        <v>0.0112244898</v>
      </c>
      <c r="W96" s="190" t="str">
        <f>IFERROR(__xludf.DUMMYFUNCTION("if(D96="""","""",SPLIT(INDEX(IMPORTHTML(concatenate(""https://finance.yahoo.com/quote/"",D96),""table"",2),6,2),"" ""))"),"#REF!")</f>
        <v>#REF!</v>
      </c>
      <c r="X96" s="191"/>
      <c r="Y96" s="189" t="str">
        <f t="shared" si="24"/>
        <v/>
      </c>
      <c r="Z96" s="191" t="str">
        <f t="shared" si="8"/>
        <v/>
      </c>
      <c r="AA96" s="191">
        <f t="shared" si="9"/>
        <v>8</v>
      </c>
      <c r="AB96" s="70"/>
      <c r="AC96" s="175"/>
      <c r="AD96" s="177"/>
      <c r="AE96" s="175"/>
      <c r="AF96" s="180"/>
      <c r="AG96" s="180"/>
      <c r="AH96" s="180"/>
      <c r="AI96" s="180"/>
      <c r="AJ96" s="180"/>
      <c r="AK96" s="180" t="str">
        <f t="shared" si="28"/>
        <v/>
      </c>
      <c r="AL96" s="72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</row>
    <row r="97" ht="18.0" customHeight="1">
      <c r="A97" s="6"/>
      <c r="B97" s="206">
        <v>44407.0</v>
      </c>
      <c r="C97" s="176" t="s">
        <v>75</v>
      </c>
      <c r="D97" s="176" t="s">
        <v>79</v>
      </c>
      <c r="E97" s="176" t="s">
        <v>26</v>
      </c>
      <c r="F97" s="178" t="s">
        <v>27</v>
      </c>
      <c r="G97" s="206">
        <v>44414.0</v>
      </c>
      <c r="H97" s="179">
        <f>IFERROR(__xludf.DUMMYFUNCTION("GOOGLEFINANCE(D97,""price"")"),5.55)</f>
        <v>5.55</v>
      </c>
      <c r="I97" s="201">
        <v>47.5</v>
      </c>
      <c r="J97" s="181"/>
      <c r="K97" s="181"/>
      <c r="L97" s="181" t="str">
        <f t="shared" si="18"/>
        <v>Option Closed</v>
      </c>
      <c r="M97" s="212">
        <v>2.0</v>
      </c>
      <c r="N97" s="201">
        <v>0.5</v>
      </c>
      <c r="O97" s="183" t="s">
        <v>45</v>
      </c>
      <c r="P97" s="206">
        <v>44414.0</v>
      </c>
      <c r="Q97" s="184">
        <v>0.03</v>
      </c>
      <c r="R97" s="185">
        <f t="shared" si="19"/>
        <v>0.05</v>
      </c>
      <c r="S97" s="186">
        <f t="shared" si="26"/>
        <v>100</v>
      </c>
      <c r="T97" s="187">
        <f t="shared" si="27"/>
        <v>-6</v>
      </c>
      <c r="U97" s="188">
        <f t="shared" si="22"/>
        <v>94</v>
      </c>
      <c r="V97" s="189">
        <f t="shared" si="23"/>
        <v>0.01052631579</v>
      </c>
      <c r="W97" s="190" t="str">
        <f>IFERROR(__xludf.DUMMYFUNCTION("if(D97="""","""",SPLIT(INDEX(IMPORTHTML(concatenate(""https://finance.yahoo.com/quote/"",D97),""table"",2),6,2),"" ""))"),"#REF!")</f>
        <v>#REF!</v>
      </c>
      <c r="X97" s="191"/>
      <c r="Y97" s="189" t="str">
        <f t="shared" si="24"/>
        <v/>
      </c>
      <c r="Z97" s="191" t="str">
        <f t="shared" si="8"/>
        <v/>
      </c>
      <c r="AA97" s="191">
        <f t="shared" si="9"/>
        <v>7</v>
      </c>
      <c r="AB97" s="70"/>
      <c r="AC97" s="175"/>
      <c r="AD97" s="177"/>
      <c r="AE97" s="175"/>
      <c r="AF97" s="180"/>
      <c r="AG97" s="180"/>
      <c r="AH97" s="180"/>
      <c r="AI97" s="180"/>
      <c r="AJ97" s="180"/>
      <c r="AK97" s="180" t="str">
        <f t="shared" si="28"/>
        <v/>
      </c>
      <c r="AL97" s="72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</row>
    <row r="98" ht="18.0" customHeight="1">
      <c r="A98" s="6"/>
      <c r="B98" s="206">
        <v>44407.0</v>
      </c>
      <c r="C98" s="176" t="s">
        <v>75</v>
      </c>
      <c r="D98" s="176" t="s">
        <v>84</v>
      </c>
      <c r="E98" s="176" t="s">
        <v>82</v>
      </c>
      <c r="F98" s="178" t="s">
        <v>27</v>
      </c>
      <c r="G98" s="206">
        <v>44414.0</v>
      </c>
      <c r="H98" s="179">
        <f>IFERROR(__xludf.DUMMYFUNCTION("GOOGLEFINANCE(D98,""price"")"),25.54)</f>
        <v>25.54</v>
      </c>
      <c r="I98" s="201">
        <v>45.0</v>
      </c>
      <c r="J98" s="181"/>
      <c r="K98" s="181"/>
      <c r="L98" s="181" t="str">
        <f t="shared" si="18"/>
        <v>Option Closed</v>
      </c>
      <c r="M98" s="212">
        <v>1.0</v>
      </c>
      <c r="N98" s="201">
        <v>0.66</v>
      </c>
      <c r="O98" s="183" t="s">
        <v>86</v>
      </c>
      <c r="P98" s="206"/>
      <c r="Q98" s="184"/>
      <c r="R98" s="185">
        <f t="shared" si="19"/>
        <v>0.066</v>
      </c>
      <c r="S98" s="186">
        <f t="shared" si="26"/>
        <v>66</v>
      </c>
      <c r="T98" s="187">
        <f t="shared" si="27"/>
        <v>0</v>
      </c>
      <c r="U98" s="188">
        <f t="shared" si="22"/>
        <v>66</v>
      </c>
      <c r="V98" s="189">
        <f t="shared" si="23"/>
        <v>0.01466666667</v>
      </c>
      <c r="W98" s="190" t="str">
        <f>IFERROR(__xludf.DUMMYFUNCTION("if(D98="""","""",SPLIT(INDEX(IMPORTHTML(concatenate(""https://finance.yahoo.com/quote/"",D98),""table"",2),6,2),"" ""))"),"#REF!")</f>
        <v>#REF!</v>
      </c>
      <c r="X98" s="191"/>
      <c r="Y98" s="189" t="str">
        <f t="shared" si="24"/>
        <v/>
      </c>
      <c r="Z98" s="191" t="str">
        <f t="shared" si="8"/>
        <v/>
      </c>
      <c r="AA98" s="191">
        <f t="shared" si="9"/>
        <v>7</v>
      </c>
      <c r="AB98" s="70"/>
      <c r="AC98" s="175"/>
      <c r="AD98" s="177"/>
      <c r="AE98" s="175"/>
      <c r="AF98" s="180"/>
      <c r="AG98" s="180"/>
      <c r="AH98" s="180"/>
      <c r="AI98" s="180"/>
      <c r="AJ98" s="180"/>
      <c r="AK98" s="180" t="str">
        <f t="shared" si="28"/>
        <v/>
      </c>
      <c r="AL98" s="72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</row>
    <row r="99" ht="18.0" customHeight="1">
      <c r="A99" s="6"/>
      <c r="B99" s="206">
        <v>44411.0</v>
      </c>
      <c r="C99" s="176" t="s">
        <v>75</v>
      </c>
      <c r="D99" s="176" t="s">
        <v>87</v>
      </c>
      <c r="E99" s="176" t="s">
        <v>82</v>
      </c>
      <c r="F99" s="178" t="s">
        <v>27</v>
      </c>
      <c r="G99" s="206">
        <v>44421.0</v>
      </c>
      <c r="H99" s="179">
        <f>IFERROR(__xludf.DUMMYFUNCTION("GOOGLEFINANCE(D99,""price"")"),127.7)</f>
        <v>127.7</v>
      </c>
      <c r="I99" s="201">
        <v>134.0</v>
      </c>
      <c r="J99" s="181"/>
      <c r="K99" s="181"/>
      <c r="L99" s="181" t="str">
        <f t="shared" si="18"/>
        <v>Option Closed</v>
      </c>
      <c r="M99" s="212">
        <v>1.0</v>
      </c>
      <c r="N99" s="201">
        <v>1.8</v>
      </c>
      <c r="O99" s="183" t="s">
        <v>86</v>
      </c>
      <c r="P99" s="206"/>
      <c r="Q99" s="184"/>
      <c r="R99" s="185">
        <f t="shared" si="19"/>
        <v>0.18</v>
      </c>
      <c r="S99" s="186">
        <f t="shared" si="26"/>
        <v>180</v>
      </c>
      <c r="T99" s="187">
        <f t="shared" si="27"/>
        <v>0</v>
      </c>
      <c r="U99" s="188">
        <f t="shared" si="22"/>
        <v>180</v>
      </c>
      <c r="V99" s="189">
        <f t="shared" si="23"/>
        <v>0.01343283582</v>
      </c>
      <c r="W99" s="190" t="str">
        <f>IFERROR(__xludf.DUMMYFUNCTION("if(D99="""","""",SPLIT(INDEX(IMPORTHTML(concatenate(""https://finance.yahoo.com/quote/"",D99),""table"",2),6,2),"" ""))"),"#REF!")</f>
        <v>#REF!</v>
      </c>
      <c r="X99" s="191"/>
      <c r="Y99" s="189" t="str">
        <f t="shared" si="24"/>
        <v/>
      </c>
      <c r="Z99" s="191" t="str">
        <f t="shared" si="8"/>
        <v/>
      </c>
      <c r="AA99" s="191">
        <f t="shared" si="9"/>
        <v>10</v>
      </c>
      <c r="AB99" s="70"/>
      <c r="AC99" s="175"/>
      <c r="AD99" s="177"/>
      <c r="AE99" s="175"/>
      <c r="AF99" s="180"/>
      <c r="AG99" s="180"/>
      <c r="AH99" s="180"/>
      <c r="AI99" s="180"/>
      <c r="AJ99" s="180"/>
      <c r="AK99" s="180" t="str">
        <f t="shared" si="28"/>
        <v/>
      </c>
      <c r="AL99" s="72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</row>
    <row r="100" ht="18.0" customHeight="1">
      <c r="A100" s="6"/>
      <c r="B100" s="206">
        <v>44412.0</v>
      </c>
      <c r="C100" s="176" t="s">
        <v>75</v>
      </c>
      <c r="D100" s="176" t="s">
        <v>76</v>
      </c>
      <c r="E100" s="176" t="s">
        <v>26</v>
      </c>
      <c r="F100" s="178" t="s">
        <v>27</v>
      </c>
      <c r="G100" s="206">
        <v>44421.0</v>
      </c>
      <c r="H100" s="179">
        <f>IFERROR(__xludf.DUMMYFUNCTION("GOOGLEFINANCE(D100,""price"")"),7.53)</f>
        <v>7.53</v>
      </c>
      <c r="I100" s="201">
        <v>126.0</v>
      </c>
      <c r="J100" s="181"/>
      <c r="K100" s="181"/>
      <c r="L100" s="181" t="str">
        <f t="shared" si="18"/>
        <v>Option Closed</v>
      </c>
      <c r="M100" s="212">
        <v>2.0</v>
      </c>
      <c r="N100" s="201">
        <v>1.0</v>
      </c>
      <c r="O100" s="183" t="s">
        <v>45</v>
      </c>
      <c r="P100" s="206">
        <v>44421.0</v>
      </c>
      <c r="Q100" s="184">
        <v>0.02</v>
      </c>
      <c r="R100" s="185">
        <f t="shared" si="19"/>
        <v>0.1</v>
      </c>
      <c r="S100" s="186">
        <f t="shared" si="26"/>
        <v>200</v>
      </c>
      <c r="T100" s="187">
        <f t="shared" si="27"/>
        <v>-4</v>
      </c>
      <c r="U100" s="188">
        <f t="shared" si="22"/>
        <v>196</v>
      </c>
      <c r="V100" s="189">
        <f t="shared" si="23"/>
        <v>0.007936507937</v>
      </c>
      <c r="W100" s="190" t="str">
        <f>IFERROR(__xludf.DUMMYFUNCTION("if(D100="""","""",SPLIT(INDEX(IMPORTHTML(concatenate(""https://finance.yahoo.com/quote/"",D100),""table"",2),6,2),"" ""))"),"#REF!")</f>
        <v>#REF!</v>
      </c>
      <c r="X100" s="191"/>
      <c r="Y100" s="189" t="str">
        <f t="shared" si="24"/>
        <v/>
      </c>
      <c r="Z100" s="191" t="str">
        <f t="shared" si="8"/>
        <v/>
      </c>
      <c r="AA100" s="191">
        <f t="shared" si="9"/>
        <v>9</v>
      </c>
      <c r="AB100" s="70"/>
      <c r="AC100" s="175"/>
      <c r="AD100" s="177"/>
      <c r="AE100" s="175"/>
      <c r="AF100" s="180"/>
      <c r="AG100" s="180"/>
      <c r="AH100" s="180"/>
      <c r="AI100" s="180"/>
      <c r="AJ100" s="180"/>
      <c r="AK100" s="180" t="str">
        <f t="shared" si="28"/>
        <v/>
      </c>
      <c r="AL100" s="72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</row>
    <row r="101" ht="18.0" customHeight="1">
      <c r="A101" s="6"/>
      <c r="B101" s="206">
        <v>44412.0</v>
      </c>
      <c r="C101" s="176" t="s">
        <v>75</v>
      </c>
      <c r="D101" s="176" t="s">
        <v>77</v>
      </c>
      <c r="E101" s="176" t="s">
        <v>26</v>
      </c>
      <c r="F101" s="178" t="s">
        <v>27</v>
      </c>
      <c r="G101" s="206">
        <v>44421.0</v>
      </c>
      <c r="H101" s="179">
        <f>IFERROR(__xludf.DUMMYFUNCTION("GOOGLEFINANCE(D101,""price"")"),8.76)</f>
        <v>8.76</v>
      </c>
      <c r="I101" s="201">
        <v>33.5</v>
      </c>
      <c r="J101" s="181"/>
      <c r="K101" s="181"/>
      <c r="L101" s="181" t="str">
        <f t="shared" si="18"/>
        <v>Option Closed</v>
      </c>
      <c r="M101" s="212">
        <v>3.0</v>
      </c>
      <c r="N101" s="201">
        <v>0.65</v>
      </c>
      <c r="O101" s="183" t="s">
        <v>86</v>
      </c>
      <c r="P101" s="206"/>
      <c r="Q101" s="184"/>
      <c r="R101" s="185">
        <f t="shared" si="19"/>
        <v>0.065</v>
      </c>
      <c r="S101" s="186">
        <f t="shared" si="26"/>
        <v>195</v>
      </c>
      <c r="T101" s="187">
        <f t="shared" si="27"/>
        <v>0</v>
      </c>
      <c r="U101" s="188">
        <f t="shared" si="22"/>
        <v>195</v>
      </c>
      <c r="V101" s="189">
        <f t="shared" si="23"/>
        <v>0.01940298507</v>
      </c>
      <c r="W101" s="190" t="str">
        <f>IFERROR(__xludf.DUMMYFUNCTION("if(D101="""","""",SPLIT(INDEX(IMPORTHTML(concatenate(""https://finance.yahoo.com/quote/"",D101),""table"",2),6,2),"" ""))"),"#REF!")</f>
        <v>#REF!</v>
      </c>
      <c r="X101" s="191"/>
      <c r="Y101" s="189" t="str">
        <f t="shared" si="24"/>
        <v/>
      </c>
      <c r="Z101" s="191" t="str">
        <f t="shared" si="8"/>
        <v/>
      </c>
      <c r="AA101" s="191">
        <f t="shared" si="9"/>
        <v>9</v>
      </c>
      <c r="AB101" s="70"/>
      <c r="AC101" s="175"/>
      <c r="AD101" s="177"/>
      <c r="AE101" s="175"/>
      <c r="AF101" s="180"/>
      <c r="AG101" s="180"/>
      <c r="AH101" s="180"/>
      <c r="AI101" s="180"/>
      <c r="AJ101" s="180"/>
      <c r="AK101" s="180" t="str">
        <f t="shared" si="28"/>
        <v/>
      </c>
      <c r="AL101" s="72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</row>
    <row r="102" ht="18.0" customHeight="1">
      <c r="A102" s="6"/>
      <c r="B102" s="206">
        <v>44412.0</v>
      </c>
      <c r="C102" s="176" t="s">
        <v>75</v>
      </c>
      <c r="D102" s="176" t="s">
        <v>93</v>
      </c>
      <c r="E102" s="176" t="s">
        <v>82</v>
      </c>
      <c r="F102" s="178" t="s">
        <v>27</v>
      </c>
      <c r="G102" s="206">
        <v>44421.0</v>
      </c>
      <c r="H102" s="179">
        <f>IFERROR(__xludf.DUMMYFUNCTION("GOOGLEFINANCE(D102,""price"")"),73.45)</f>
        <v>73.45</v>
      </c>
      <c r="I102" s="201">
        <v>51.0</v>
      </c>
      <c r="J102" s="181"/>
      <c r="K102" s="181"/>
      <c r="L102" s="181" t="str">
        <f t="shared" si="18"/>
        <v>Option Closed</v>
      </c>
      <c r="M102" s="212">
        <v>1.0</v>
      </c>
      <c r="N102" s="201">
        <v>0.6</v>
      </c>
      <c r="O102" s="183" t="s">
        <v>45</v>
      </c>
      <c r="P102" s="206">
        <v>44417.0</v>
      </c>
      <c r="Q102" s="184">
        <v>0.05</v>
      </c>
      <c r="R102" s="185">
        <f t="shared" si="19"/>
        <v>0.06</v>
      </c>
      <c r="S102" s="186">
        <f t="shared" si="26"/>
        <v>60</v>
      </c>
      <c r="T102" s="187">
        <f t="shared" si="27"/>
        <v>-5</v>
      </c>
      <c r="U102" s="188">
        <f t="shared" si="22"/>
        <v>55</v>
      </c>
      <c r="V102" s="189">
        <f t="shared" si="23"/>
        <v>0.01176470588</v>
      </c>
      <c r="W102" s="190" t="str">
        <f>IFERROR(__xludf.DUMMYFUNCTION("if(D102="""","""",SPLIT(INDEX(IMPORTHTML(concatenate(""https://finance.yahoo.com/quote/"",D102),""table"",2),6,2),"" ""))"),"#REF!")</f>
        <v>#REF!</v>
      </c>
      <c r="X102" s="191"/>
      <c r="Y102" s="189" t="str">
        <f t="shared" si="24"/>
        <v/>
      </c>
      <c r="Z102" s="191" t="str">
        <f t="shared" si="8"/>
        <v/>
      </c>
      <c r="AA102" s="191">
        <f t="shared" si="9"/>
        <v>5</v>
      </c>
      <c r="AB102" s="70"/>
      <c r="AC102" s="175"/>
      <c r="AD102" s="177"/>
      <c r="AE102" s="175"/>
      <c r="AF102" s="180"/>
      <c r="AG102" s="180"/>
      <c r="AH102" s="180"/>
      <c r="AI102" s="180"/>
      <c r="AJ102" s="180"/>
      <c r="AK102" s="180" t="str">
        <f t="shared" si="28"/>
        <v/>
      </c>
      <c r="AL102" s="72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</row>
    <row r="103" ht="18.0" customHeight="1">
      <c r="A103" s="6"/>
      <c r="B103" s="206">
        <v>44414.0</v>
      </c>
      <c r="C103" s="176" t="s">
        <v>75</v>
      </c>
      <c r="D103" s="176" t="s">
        <v>87</v>
      </c>
      <c r="E103" s="176" t="s">
        <v>82</v>
      </c>
      <c r="F103" s="178" t="s">
        <v>27</v>
      </c>
      <c r="G103" s="206">
        <v>44421.0</v>
      </c>
      <c r="H103" s="179">
        <f>IFERROR(__xludf.DUMMYFUNCTION("GOOGLEFINANCE(D103,""price"")"),127.7)</f>
        <v>127.7</v>
      </c>
      <c r="I103" s="201">
        <v>139.0</v>
      </c>
      <c r="J103" s="181"/>
      <c r="K103" s="181"/>
      <c r="L103" s="181" t="str">
        <f t="shared" si="18"/>
        <v>Option Closed</v>
      </c>
      <c r="M103" s="212">
        <v>1.0</v>
      </c>
      <c r="N103" s="201">
        <v>1.8</v>
      </c>
      <c r="O103" s="183" t="s">
        <v>86</v>
      </c>
      <c r="P103" s="206"/>
      <c r="Q103" s="184"/>
      <c r="R103" s="185">
        <f t="shared" si="19"/>
        <v>0.18</v>
      </c>
      <c r="S103" s="186">
        <f t="shared" si="26"/>
        <v>180</v>
      </c>
      <c r="T103" s="187">
        <f t="shared" si="27"/>
        <v>0</v>
      </c>
      <c r="U103" s="188">
        <f t="shared" si="22"/>
        <v>180</v>
      </c>
      <c r="V103" s="189">
        <f t="shared" si="23"/>
        <v>0.01294964029</v>
      </c>
      <c r="W103" s="190" t="str">
        <f>IFERROR(__xludf.DUMMYFUNCTION("if(D103="""","""",SPLIT(INDEX(IMPORTHTML(concatenate(""https://finance.yahoo.com/quote/"",D103),""table"",2),6,2),"" ""))"),"#REF!")</f>
        <v>#REF!</v>
      </c>
      <c r="X103" s="191"/>
      <c r="Y103" s="189" t="str">
        <f t="shared" si="24"/>
        <v/>
      </c>
      <c r="Z103" s="191" t="str">
        <f t="shared" si="8"/>
        <v/>
      </c>
      <c r="AA103" s="191">
        <f t="shared" si="9"/>
        <v>7</v>
      </c>
      <c r="AB103" s="70"/>
      <c r="AC103" s="175"/>
      <c r="AD103" s="177"/>
      <c r="AE103" s="175"/>
      <c r="AF103" s="180"/>
      <c r="AG103" s="180"/>
      <c r="AH103" s="180"/>
      <c r="AI103" s="180"/>
      <c r="AJ103" s="180"/>
      <c r="AK103" s="180" t="str">
        <f t="shared" si="28"/>
        <v/>
      </c>
      <c r="AL103" s="72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</row>
    <row r="104" ht="18.0" customHeight="1">
      <c r="A104" s="6"/>
      <c r="B104" s="206">
        <v>44414.0</v>
      </c>
      <c r="C104" s="176" t="s">
        <v>75</v>
      </c>
      <c r="D104" s="176" t="s">
        <v>85</v>
      </c>
      <c r="E104" s="176" t="s">
        <v>82</v>
      </c>
      <c r="F104" s="176" t="s">
        <v>27</v>
      </c>
      <c r="G104" s="206">
        <v>44421.0</v>
      </c>
      <c r="H104" s="179">
        <f>IFERROR(__xludf.DUMMYFUNCTION("GOOGLEFINANCE(D104,""price"")"),197.74)</f>
        <v>197.74</v>
      </c>
      <c r="I104" s="201">
        <v>107.0</v>
      </c>
      <c r="J104" s="181"/>
      <c r="K104" s="181"/>
      <c r="L104" s="181" t="str">
        <f t="shared" si="18"/>
        <v>Option Closed</v>
      </c>
      <c r="M104" s="212">
        <v>1.0</v>
      </c>
      <c r="N104" s="201">
        <v>1.1</v>
      </c>
      <c r="O104" s="183" t="s">
        <v>86</v>
      </c>
      <c r="P104" s="206"/>
      <c r="Q104" s="184"/>
      <c r="R104" s="185">
        <f t="shared" si="19"/>
        <v>0.11</v>
      </c>
      <c r="S104" s="186">
        <f t="shared" si="26"/>
        <v>110</v>
      </c>
      <c r="T104" s="187">
        <f t="shared" si="27"/>
        <v>0</v>
      </c>
      <c r="U104" s="188">
        <f t="shared" si="22"/>
        <v>110</v>
      </c>
      <c r="V104" s="189">
        <f t="shared" si="23"/>
        <v>0.01028037383</v>
      </c>
      <c r="W104" s="190" t="str">
        <f>IFERROR(__xludf.DUMMYFUNCTION("if(D104="""","""",SPLIT(INDEX(IMPORTHTML(concatenate(""https://finance.yahoo.com/quote/"",D104),""table"",2),6,2),"" ""))"),"#REF!")</f>
        <v>#REF!</v>
      </c>
      <c r="X104" s="191"/>
      <c r="Y104" s="189" t="str">
        <f t="shared" si="24"/>
        <v/>
      </c>
      <c r="Z104" s="191" t="str">
        <f t="shared" si="8"/>
        <v/>
      </c>
      <c r="AA104" s="191">
        <f t="shared" si="9"/>
        <v>7</v>
      </c>
      <c r="AB104" s="70"/>
      <c r="AC104" s="175"/>
      <c r="AD104" s="177"/>
      <c r="AE104" s="175"/>
      <c r="AF104" s="180"/>
      <c r="AG104" s="180"/>
      <c r="AH104" s="180"/>
      <c r="AI104" s="180"/>
      <c r="AJ104" s="180"/>
      <c r="AK104" s="180" t="str">
        <f t="shared" si="28"/>
        <v/>
      </c>
      <c r="AL104" s="72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</row>
    <row r="105" ht="18.0" customHeight="1">
      <c r="A105" s="6"/>
      <c r="B105" s="206">
        <v>44418.0</v>
      </c>
      <c r="C105" s="176" t="s">
        <v>91</v>
      </c>
      <c r="D105" s="176" t="s">
        <v>100</v>
      </c>
      <c r="E105" s="176" t="s">
        <v>26</v>
      </c>
      <c r="F105" s="176" t="s">
        <v>27</v>
      </c>
      <c r="G105" s="206">
        <v>44547.0</v>
      </c>
      <c r="H105" s="179">
        <f>IFERROR(__xludf.DUMMYFUNCTION("GOOGLEFINANCE(D105,""price"")"),127.08)</f>
        <v>127.08</v>
      </c>
      <c r="I105" s="201">
        <v>180.0</v>
      </c>
      <c r="J105" s="181"/>
      <c r="K105" s="181"/>
      <c r="L105" s="181" t="str">
        <f t="shared" si="18"/>
        <v>Option Closed</v>
      </c>
      <c r="M105" s="212">
        <v>1.0</v>
      </c>
      <c r="N105" s="201">
        <v>2.5</v>
      </c>
      <c r="O105" s="183" t="s">
        <v>86</v>
      </c>
      <c r="P105" s="206"/>
      <c r="Q105" s="184"/>
      <c r="R105" s="185">
        <f t="shared" si="19"/>
        <v>0.25</v>
      </c>
      <c r="S105" s="186">
        <f t="shared" si="26"/>
        <v>250</v>
      </c>
      <c r="T105" s="187">
        <f t="shared" si="27"/>
        <v>0</v>
      </c>
      <c r="U105" s="188">
        <f t="shared" si="22"/>
        <v>250</v>
      </c>
      <c r="V105" s="189">
        <f t="shared" si="23"/>
        <v>0.01388888889</v>
      </c>
      <c r="W105" s="190" t="str">
        <f>IFERROR(__xludf.DUMMYFUNCTION("if(D105="""","""",SPLIT(INDEX(IMPORTHTML(concatenate(""https://finance.yahoo.com/quote/"",D105),""table"",2),6,2),"" ""))"),"#REF!")</f>
        <v>#REF!</v>
      </c>
      <c r="X105" s="191"/>
      <c r="Y105" s="189" t="str">
        <f t="shared" si="24"/>
        <v/>
      </c>
      <c r="Z105" s="191" t="str">
        <f t="shared" si="8"/>
        <v/>
      </c>
      <c r="AA105" s="191">
        <f t="shared" si="9"/>
        <v>129</v>
      </c>
      <c r="AB105" s="70"/>
      <c r="AC105" s="175"/>
      <c r="AD105" s="177"/>
      <c r="AE105" s="175"/>
      <c r="AF105" s="180"/>
      <c r="AG105" s="180"/>
      <c r="AH105" s="180"/>
      <c r="AI105" s="180"/>
      <c r="AJ105" s="180"/>
      <c r="AK105" s="180" t="str">
        <f t="shared" si="28"/>
        <v/>
      </c>
      <c r="AL105" s="72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</row>
    <row r="106" ht="18.0" customHeight="1">
      <c r="A106" s="6"/>
      <c r="B106" s="206">
        <v>44418.0</v>
      </c>
      <c r="C106" s="176" t="s">
        <v>91</v>
      </c>
      <c r="D106" s="176" t="s">
        <v>92</v>
      </c>
      <c r="E106" s="176" t="s">
        <v>26</v>
      </c>
      <c r="F106" s="176" t="s">
        <v>27</v>
      </c>
      <c r="G106" s="206">
        <v>44456.0</v>
      </c>
      <c r="H106" s="179">
        <f>IFERROR(__xludf.DUMMYFUNCTION("GOOGLEFINANCE(D106,""price"")"),0.0)</f>
        <v>0</v>
      </c>
      <c r="I106" s="201">
        <v>11.0</v>
      </c>
      <c r="J106" s="181"/>
      <c r="K106" s="181"/>
      <c r="L106" s="181" t="str">
        <f t="shared" si="18"/>
        <v>Option Closed</v>
      </c>
      <c r="M106" s="212">
        <v>9.0</v>
      </c>
      <c r="N106" s="201">
        <v>0.08</v>
      </c>
      <c r="O106" s="183" t="s">
        <v>86</v>
      </c>
      <c r="P106" s="206"/>
      <c r="Q106" s="184"/>
      <c r="R106" s="185">
        <f t="shared" si="19"/>
        <v>0.008</v>
      </c>
      <c r="S106" s="186">
        <f t="shared" si="26"/>
        <v>72</v>
      </c>
      <c r="T106" s="187">
        <f t="shared" si="27"/>
        <v>0</v>
      </c>
      <c r="U106" s="188">
        <f t="shared" si="22"/>
        <v>72</v>
      </c>
      <c r="V106" s="189">
        <f t="shared" si="23"/>
        <v>0.007272727273</v>
      </c>
      <c r="W106" s="190" t="str">
        <f>IFERROR(__xludf.DUMMYFUNCTION("if(D106="""","""",SPLIT(INDEX(IMPORTHTML(concatenate(""https://finance.yahoo.com/quote/"",D106),""table"",2),6,2),"" ""))"),"#REF!")</f>
        <v>#REF!</v>
      </c>
      <c r="X106" s="191"/>
      <c r="Y106" s="189" t="str">
        <f t="shared" si="24"/>
        <v/>
      </c>
      <c r="Z106" s="191" t="str">
        <f t="shared" si="8"/>
        <v/>
      </c>
      <c r="AA106" s="191">
        <f t="shared" si="9"/>
        <v>38</v>
      </c>
      <c r="AB106" s="70"/>
      <c r="AC106" s="175"/>
      <c r="AD106" s="177"/>
      <c r="AE106" s="175"/>
      <c r="AF106" s="180"/>
      <c r="AG106" s="180"/>
      <c r="AH106" s="180"/>
      <c r="AI106" s="180"/>
      <c r="AJ106" s="180"/>
      <c r="AK106" s="180" t="str">
        <f t="shared" si="28"/>
        <v/>
      </c>
      <c r="AL106" s="72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</row>
    <row r="107" ht="18.0" customHeight="1">
      <c r="A107" s="6"/>
      <c r="B107" s="206">
        <v>44419.0</v>
      </c>
      <c r="C107" s="176" t="s">
        <v>75</v>
      </c>
      <c r="D107" s="176" t="s">
        <v>101</v>
      </c>
      <c r="E107" s="176" t="s">
        <v>82</v>
      </c>
      <c r="F107" s="176" t="s">
        <v>27</v>
      </c>
      <c r="G107" s="206">
        <v>44428.0</v>
      </c>
      <c r="H107" s="179">
        <f>IFERROR(__xludf.DUMMYFUNCTION("GOOGLEFINANCE(D107,""price"")"),183.16)</f>
        <v>183.16</v>
      </c>
      <c r="I107" s="201">
        <v>186.25</v>
      </c>
      <c r="J107" s="181"/>
      <c r="K107" s="181"/>
      <c r="L107" s="181" t="str">
        <f t="shared" si="18"/>
        <v>Option Closed</v>
      </c>
      <c r="M107" s="212">
        <v>1.0</v>
      </c>
      <c r="N107" s="201">
        <v>2.0</v>
      </c>
      <c r="O107" s="183" t="s">
        <v>86</v>
      </c>
      <c r="P107" s="206"/>
      <c r="Q107" s="184"/>
      <c r="R107" s="185">
        <f t="shared" si="19"/>
        <v>0.2</v>
      </c>
      <c r="S107" s="186">
        <f t="shared" si="26"/>
        <v>200</v>
      </c>
      <c r="T107" s="187">
        <f t="shared" si="27"/>
        <v>0</v>
      </c>
      <c r="U107" s="188">
        <f t="shared" si="22"/>
        <v>200</v>
      </c>
      <c r="V107" s="189">
        <f t="shared" si="23"/>
        <v>0.01073825503</v>
      </c>
      <c r="W107" s="190" t="str">
        <f>IFERROR(__xludf.DUMMYFUNCTION("if(D107="""","""",SPLIT(INDEX(IMPORTHTML(concatenate(""https://finance.yahoo.com/quote/"",D107),""table"",2),6,2),"" ""))"),"#REF!")</f>
        <v>#REF!</v>
      </c>
      <c r="X107" s="191"/>
      <c r="Y107" s="189" t="str">
        <f t="shared" si="24"/>
        <v/>
      </c>
      <c r="Z107" s="191" t="str">
        <f t="shared" si="8"/>
        <v/>
      </c>
      <c r="AA107" s="191">
        <f t="shared" si="9"/>
        <v>9</v>
      </c>
      <c r="AB107" s="70"/>
      <c r="AC107" s="175"/>
      <c r="AD107" s="177"/>
      <c r="AE107" s="175"/>
      <c r="AF107" s="180"/>
      <c r="AG107" s="180"/>
      <c r="AH107" s="180"/>
      <c r="AI107" s="180"/>
      <c r="AJ107" s="180"/>
      <c r="AK107" s="180" t="str">
        <f t="shared" si="28"/>
        <v/>
      </c>
      <c r="AL107" s="72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</row>
    <row r="108" ht="18.0" customHeight="1">
      <c r="A108" s="6"/>
      <c r="B108" s="206">
        <v>44421.0</v>
      </c>
      <c r="C108" s="176" t="s">
        <v>75</v>
      </c>
      <c r="D108" s="176" t="s">
        <v>87</v>
      </c>
      <c r="E108" s="176" t="s">
        <v>82</v>
      </c>
      <c r="F108" s="178" t="s">
        <v>27</v>
      </c>
      <c r="G108" s="206">
        <v>44428.0</v>
      </c>
      <c r="H108" s="179">
        <f>IFERROR(__xludf.DUMMYFUNCTION("GOOGLEFINANCE(D108,""price"")"),127.7)</f>
        <v>127.7</v>
      </c>
      <c r="I108" s="201">
        <v>145.0</v>
      </c>
      <c r="J108" s="181"/>
      <c r="K108" s="181"/>
      <c r="L108" s="181" t="str">
        <f t="shared" si="18"/>
        <v>Option Closed</v>
      </c>
      <c r="M108" s="212">
        <v>1.0</v>
      </c>
      <c r="N108" s="201">
        <v>1.5</v>
      </c>
      <c r="O108" s="183" t="s">
        <v>83</v>
      </c>
      <c r="P108" s="206">
        <v>44428.0</v>
      </c>
      <c r="Q108" s="184"/>
      <c r="R108" s="185">
        <f t="shared" si="19"/>
        <v>0.15</v>
      </c>
      <c r="S108" s="186">
        <f t="shared" si="26"/>
        <v>150</v>
      </c>
      <c r="T108" s="187">
        <f t="shared" si="27"/>
        <v>0</v>
      </c>
      <c r="U108" s="188">
        <f t="shared" si="22"/>
        <v>150</v>
      </c>
      <c r="V108" s="189">
        <f t="shared" si="23"/>
        <v>0.01034482759</v>
      </c>
      <c r="W108" s="190" t="str">
        <f>IFERROR(__xludf.DUMMYFUNCTION("if(D108="""","""",SPLIT(INDEX(IMPORTHTML(concatenate(""https://finance.yahoo.com/quote/"",D108),""table"",2),6,2),"" ""))"),"#REF!")</f>
        <v>#REF!</v>
      </c>
      <c r="X108" s="191"/>
      <c r="Y108" s="189" t="str">
        <f t="shared" si="24"/>
        <v/>
      </c>
      <c r="Z108" s="191" t="str">
        <f t="shared" si="8"/>
        <v/>
      </c>
      <c r="AA108" s="191">
        <f t="shared" si="9"/>
        <v>7</v>
      </c>
      <c r="AB108" s="70"/>
      <c r="AC108" s="175"/>
      <c r="AD108" s="177"/>
      <c r="AE108" s="175"/>
      <c r="AF108" s="180"/>
      <c r="AG108" s="180"/>
      <c r="AH108" s="180"/>
      <c r="AI108" s="180"/>
      <c r="AJ108" s="180"/>
      <c r="AK108" s="180" t="str">
        <f t="shared" si="28"/>
        <v/>
      </c>
      <c r="AL108" s="72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</row>
    <row r="109" ht="18.0" customHeight="1">
      <c r="A109" s="6"/>
      <c r="B109" s="206">
        <v>44424.0</v>
      </c>
      <c r="C109" s="176" t="s">
        <v>75</v>
      </c>
      <c r="D109" s="176" t="s">
        <v>97</v>
      </c>
      <c r="E109" s="176" t="s">
        <v>82</v>
      </c>
      <c r="F109" s="178" t="s">
        <v>27</v>
      </c>
      <c r="G109" s="206">
        <v>44428.0</v>
      </c>
      <c r="H109" s="179">
        <f>IFERROR(__xludf.DUMMYFUNCTION("GOOGLEFINANCE(D109,""price"")"),56.3)</f>
        <v>56.3</v>
      </c>
      <c r="I109" s="201">
        <v>73.0</v>
      </c>
      <c r="J109" s="181"/>
      <c r="K109" s="181"/>
      <c r="L109" s="181" t="str">
        <f t="shared" si="18"/>
        <v>Option Closed</v>
      </c>
      <c r="M109" s="212">
        <v>1.0</v>
      </c>
      <c r="N109" s="201">
        <v>1.5</v>
      </c>
      <c r="O109" s="183" t="s">
        <v>86</v>
      </c>
      <c r="P109" s="206"/>
      <c r="Q109" s="184"/>
      <c r="R109" s="185">
        <f t="shared" si="19"/>
        <v>0.15</v>
      </c>
      <c r="S109" s="186">
        <f t="shared" si="26"/>
        <v>150</v>
      </c>
      <c r="T109" s="187">
        <f t="shared" si="27"/>
        <v>0</v>
      </c>
      <c r="U109" s="188">
        <f t="shared" si="22"/>
        <v>150</v>
      </c>
      <c r="V109" s="189">
        <f t="shared" si="23"/>
        <v>0.02054794521</v>
      </c>
      <c r="W109" s="190" t="str">
        <f>IFERROR(__xludf.DUMMYFUNCTION("if(D109="""","""",SPLIT(INDEX(IMPORTHTML(concatenate(""https://finance.yahoo.com/quote/"",D109),""table"",2),6,2),"" ""))"),"#REF!")</f>
        <v>#REF!</v>
      </c>
      <c r="X109" s="191"/>
      <c r="Y109" s="189" t="str">
        <f t="shared" si="24"/>
        <v/>
      </c>
      <c r="Z109" s="191" t="str">
        <f t="shared" si="8"/>
        <v/>
      </c>
      <c r="AA109" s="191">
        <f t="shared" si="9"/>
        <v>4</v>
      </c>
      <c r="AB109" s="70"/>
      <c r="AC109" s="175"/>
      <c r="AD109" s="177"/>
      <c r="AE109" s="175"/>
      <c r="AF109" s="180"/>
      <c r="AG109" s="180"/>
      <c r="AH109" s="180"/>
      <c r="AI109" s="180"/>
      <c r="AJ109" s="180"/>
      <c r="AK109" s="180" t="str">
        <f t="shared" si="28"/>
        <v/>
      </c>
      <c r="AL109" s="72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</row>
    <row r="110" ht="18.0" customHeight="1">
      <c r="A110" s="6"/>
      <c r="B110" s="206">
        <v>44424.0</v>
      </c>
      <c r="C110" s="176" t="s">
        <v>75</v>
      </c>
      <c r="D110" s="176" t="s">
        <v>77</v>
      </c>
      <c r="E110" s="176" t="s">
        <v>82</v>
      </c>
      <c r="F110" s="178" t="s">
        <v>27</v>
      </c>
      <c r="G110" s="206">
        <v>44428.0</v>
      </c>
      <c r="H110" s="179">
        <f>IFERROR(__xludf.DUMMYFUNCTION("GOOGLEFINANCE(D110,""price"")"),8.76)</f>
        <v>8.76</v>
      </c>
      <c r="I110" s="201">
        <v>31.0</v>
      </c>
      <c r="J110" s="181"/>
      <c r="K110" s="181"/>
      <c r="L110" s="181" t="str">
        <f t="shared" si="18"/>
        <v>Option Closed</v>
      </c>
      <c r="M110" s="212">
        <v>1.0</v>
      </c>
      <c r="N110" s="201">
        <v>0.8</v>
      </c>
      <c r="O110" s="183" t="s">
        <v>86</v>
      </c>
      <c r="P110" s="206"/>
      <c r="Q110" s="184"/>
      <c r="R110" s="185">
        <f t="shared" si="19"/>
        <v>0.08</v>
      </c>
      <c r="S110" s="186">
        <f t="shared" si="26"/>
        <v>80</v>
      </c>
      <c r="T110" s="187">
        <f t="shared" si="27"/>
        <v>0</v>
      </c>
      <c r="U110" s="188">
        <f t="shared" si="22"/>
        <v>80</v>
      </c>
      <c r="V110" s="189">
        <f t="shared" si="23"/>
        <v>0.02580645161</v>
      </c>
      <c r="W110" s="190" t="str">
        <f>IFERROR(__xludf.DUMMYFUNCTION("if(D110="""","""",SPLIT(INDEX(IMPORTHTML(concatenate(""https://finance.yahoo.com/quote/"",D110),""table"",2),6,2),"" ""))"),"#REF!")</f>
        <v>#REF!</v>
      </c>
      <c r="X110" s="191"/>
      <c r="Y110" s="189" t="str">
        <f t="shared" si="24"/>
        <v/>
      </c>
      <c r="Z110" s="191" t="str">
        <f t="shared" si="8"/>
        <v/>
      </c>
      <c r="AA110" s="191">
        <f t="shared" si="9"/>
        <v>4</v>
      </c>
      <c r="AB110" s="70"/>
      <c r="AC110" s="175"/>
      <c r="AD110" s="177"/>
      <c r="AE110" s="175"/>
      <c r="AF110" s="180"/>
      <c r="AG110" s="180"/>
      <c r="AH110" s="180"/>
      <c r="AI110" s="180"/>
      <c r="AJ110" s="180"/>
      <c r="AK110" s="180" t="str">
        <f t="shared" si="28"/>
        <v/>
      </c>
      <c r="AL110" s="72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</row>
    <row r="111" ht="18.0" customHeight="1">
      <c r="A111" s="6"/>
      <c r="B111" s="206">
        <v>44424.0</v>
      </c>
      <c r="C111" s="176" t="s">
        <v>75</v>
      </c>
      <c r="D111" s="176" t="s">
        <v>85</v>
      </c>
      <c r="E111" s="176" t="s">
        <v>82</v>
      </c>
      <c r="F111" s="178" t="s">
        <v>27</v>
      </c>
      <c r="G111" s="206">
        <v>44428.0</v>
      </c>
      <c r="H111" s="179">
        <f>IFERROR(__xludf.DUMMYFUNCTION("GOOGLEFINANCE(D111,""price"")"),197.74)</f>
        <v>197.74</v>
      </c>
      <c r="I111" s="201">
        <v>104.0</v>
      </c>
      <c r="J111" s="181"/>
      <c r="K111" s="181"/>
      <c r="L111" s="181" t="str">
        <f t="shared" si="18"/>
        <v>Option Closed</v>
      </c>
      <c r="M111" s="212">
        <v>1.0</v>
      </c>
      <c r="N111" s="201">
        <v>1.0</v>
      </c>
      <c r="O111" s="183" t="s">
        <v>45</v>
      </c>
      <c r="P111" s="206"/>
      <c r="Q111" s="184"/>
      <c r="R111" s="185">
        <f t="shared" si="19"/>
        <v>0.1</v>
      </c>
      <c r="S111" s="186">
        <f t="shared" si="26"/>
        <v>100</v>
      </c>
      <c r="T111" s="187">
        <f t="shared" si="27"/>
        <v>0</v>
      </c>
      <c r="U111" s="188">
        <f t="shared" si="22"/>
        <v>100</v>
      </c>
      <c r="V111" s="189">
        <f t="shared" si="23"/>
        <v>0.009615384615</v>
      </c>
      <c r="W111" s="190" t="str">
        <f>IFERROR(__xludf.DUMMYFUNCTION("if(D111="""","""",SPLIT(INDEX(IMPORTHTML(concatenate(""https://finance.yahoo.com/quote/"",D111),""table"",2),6,2),"" ""))"),"#REF!")</f>
        <v>#REF!</v>
      </c>
      <c r="X111" s="191"/>
      <c r="Y111" s="189" t="str">
        <f t="shared" si="24"/>
        <v/>
      </c>
      <c r="Z111" s="191" t="str">
        <f t="shared" si="8"/>
        <v/>
      </c>
      <c r="AA111" s="191">
        <f t="shared" si="9"/>
        <v>4</v>
      </c>
      <c r="AB111" s="70"/>
      <c r="AC111" s="175"/>
      <c r="AD111" s="177"/>
      <c r="AE111" s="175"/>
      <c r="AF111" s="180"/>
      <c r="AG111" s="180"/>
      <c r="AH111" s="180"/>
      <c r="AI111" s="180"/>
      <c r="AJ111" s="180"/>
      <c r="AK111" s="180" t="str">
        <f t="shared" si="28"/>
        <v/>
      </c>
      <c r="AL111" s="72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</row>
    <row r="112" ht="18.0" customHeight="1">
      <c r="A112" s="6"/>
      <c r="B112" s="206">
        <v>44424.0</v>
      </c>
      <c r="C112" s="176" t="s">
        <v>75</v>
      </c>
      <c r="D112" s="176" t="s">
        <v>77</v>
      </c>
      <c r="E112" s="176" t="s">
        <v>26</v>
      </c>
      <c r="F112" s="178" t="s">
        <v>27</v>
      </c>
      <c r="G112" s="206">
        <v>44428.0</v>
      </c>
      <c r="H112" s="179">
        <f>IFERROR(__xludf.DUMMYFUNCTION("GOOGLEFINANCE(D112,""price"")"),8.76)</f>
        <v>8.76</v>
      </c>
      <c r="I112" s="201">
        <v>35.0</v>
      </c>
      <c r="J112" s="181"/>
      <c r="K112" s="181"/>
      <c r="L112" s="181" t="str">
        <f t="shared" si="18"/>
        <v>Option Closed</v>
      </c>
      <c r="M112" s="212">
        <v>3.0</v>
      </c>
      <c r="N112" s="201">
        <v>0.75</v>
      </c>
      <c r="O112" s="183" t="s">
        <v>83</v>
      </c>
      <c r="P112" s="206">
        <v>44428.0</v>
      </c>
      <c r="Q112" s="184"/>
      <c r="R112" s="185">
        <f t="shared" si="19"/>
        <v>0.075</v>
      </c>
      <c r="S112" s="186">
        <f t="shared" si="26"/>
        <v>225</v>
      </c>
      <c r="T112" s="187">
        <f t="shared" si="27"/>
        <v>0</v>
      </c>
      <c r="U112" s="188">
        <f t="shared" si="22"/>
        <v>225</v>
      </c>
      <c r="V112" s="189">
        <f t="shared" si="23"/>
        <v>0.02142857143</v>
      </c>
      <c r="W112" s="190" t="str">
        <f>IFERROR(__xludf.DUMMYFUNCTION("if(D112="""","""",SPLIT(INDEX(IMPORTHTML(concatenate(""https://finance.yahoo.com/quote/"",D112),""table"",2),6,2),"" ""))"),"#REF!")</f>
        <v>#REF!</v>
      </c>
      <c r="X112" s="191"/>
      <c r="Y112" s="189" t="str">
        <f t="shared" si="24"/>
        <v/>
      </c>
      <c r="Z112" s="191" t="str">
        <f t="shared" si="8"/>
        <v/>
      </c>
      <c r="AA112" s="191">
        <f t="shared" si="9"/>
        <v>4</v>
      </c>
      <c r="AB112" s="70"/>
      <c r="AC112" s="175"/>
      <c r="AD112" s="177"/>
      <c r="AE112" s="175"/>
      <c r="AF112" s="180"/>
      <c r="AG112" s="180"/>
      <c r="AH112" s="180"/>
      <c r="AI112" s="180"/>
      <c r="AJ112" s="180"/>
      <c r="AK112" s="180" t="str">
        <f t="shared" si="28"/>
        <v/>
      </c>
      <c r="AL112" s="72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</row>
    <row r="113" ht="18.0" customHeight="1">
      <c r="A113" s="6"/>
      <c r="B113" s="206">
        <v>44424.0</v>
      </c>
      <c r="C113" s="176" t="s">
        <v>91</v>
      </c>
      <c r="D113" s="176" t="s">
        <v>102</v>
      </c>
      <c r="E113" s="176" t="s">
        <v>26</v>
      </c>
      <c r="F113" s="178" t="s">
        <v>27</v>
      </c>
      <c r="G113" s="206">
        <v>44456.0</v>
      </c>
      <c r="H113" s="179">
        <f>IFERROR(__xludf.DUMMYFUNCTION("GOOGLEFINANCE(D113,""price"")"),277.21)</f>
        <v>277.21</v>
      </c>
      <c r="I113" s="201">
        <v>270.0</v>
      </c>
      <c r="J113" s="181"/>
      <c r="K113" s="181"/>
      <c r="L113" s="181" t="str">
        <f t="shared" si="18"/>
        <v>Option Closed</v>
      </c>
      <c r="M113" s="212">
        <v>2.0</v>
      </c>
      <c r="N113" s="201">
        <v>1.0</v>
      </c>
      <c r="O113" s="183" t="s">
        <v>86</v>
      </c>
      <c r="P113" s="206"/>
      <c r="Q113" s="184"/>
      <c r="R113" s="185">
        <f t="shared" si="19"/>
        <v>0.1</v>
      </c>
      <c r="S113" s="186">
        <f t="shared" si="26"/>
        <v>200</v>
      </c>
      <c r="T113" s="187">
        <f t="shared" si="27"/>
        <v>0</v>
      </c>
      <c r="U113" s="188">
        <f t="shared" si="22"/>
        <v>200</v>
      </c>
      <c r="V113" s="189">
        <f t="shared" si="23"/>
        <v>0.003703703704</v>
      </c>
      <c r="W113" s="190" t="str">
        <f>IFERROR(__xludf.DUMMYFUNCTION("if(D113="""","""",SPLIT(INDEX(IMPORTHTML(concatenate(""https://finance.yahoo.com/quote/"",D113),""table"",2),6,2),"" ""))"),"#REF!")</f>
        <v>#REF!</v>
      </c>
      <c r="X113" s="191"/>
      <c r="Y113" s="189" t="str">
        <f t="shared" si="24"/>
        <v/>
      </c>
      <c r="Z113" s="191" t="str">
        <f t="shared" si="8"/>
        <v/>
      </c>
      <c r="AA113" s="191">
        <f t="shared" si="9"/>
        <v>32</v>
      </c>
      <c r="AB113" s="70"/>
      <c r="AC113" s="175"/>
      <c r="AD113" s="177"/>
      <c r="AE113" s="175"/>
      <c r="AF113" s="180"/>
      <c r="AG113" s="180"/>
      <c r="AH113" s="180"/>
      <c r="AI113" s="180"/>
      <c r="AJ113" s="180"/>
      <c r="AK113" s="180" t="str">
        <f t="shared" si="28"/>
        <v/>
      </c>
      <c r="AL113" s="72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</row>
    <row r="114" ht="18.0" customHeight="1">
      <c r="A114" s="6"/>
      <c r="B114" s="206">
        <v>44431.0</v>
      </c>
      <c r="C114" s="176" t="s">
        <v>75</v>
      </c>
      <c r="D114" s="176" t="s">
        <v>77</v>
      </c>
      <c r="E114" s="176" t="s">
        <v>26</v>
      </c>
      <c r="F114" s="178" t="s">
        <v>27</v>
      </c>
      <c r="G114" s="206">
        <v>44435.0</v>
      </c>
      <c r="H114" s="179">
        <f>IFERROR(__xludf.DUMMYFUNCTION("GOOGLEFINANCE(D114,""price"")"),8.76)</f>
        <v>8.76</v>
      </c>
      <c r="I114" s="201">
        <v>40.0</v>
      </c>
      <c r="J114" s="181"/>
      <c r="K114" s="181"/>
      <c r="L114" s="181" t="str">
        <f t="shared" si="18"/>
        <v>Option Closed</v>
      </c>
      <c r="M114" s="212">
        <v>3.0</v>
      </c>
      <c r="N114" s="201">
        <v>1.0</v>
      </c>
      <c r="O114" s="183" t="s">
        <v>45</v>
      </c>
      <c r="P114" s="206">
        <v>44435.0</v>
      </c>
      <c r="Q114" s="184">
        <v>0.04</v>
      </c>
      <c r="R114" s="185">
        <f t="shared" si="19"/>
        <v>0.1</v>
      </c>
      <c r="S114" s="186">
        <f t="shared" si="26"/>
        <v>300</v>
      </c>
      <c r="T114" s="187">
        <f t="shared" si="27"/>
        <v>-12</v>
      </c>
      <c r="U114" s="188">
        <f t="shared" si="22"/>
        <v>288</v>
      </c>
      <c r="V114" s="189">
        <f t="shared" si="23"/>
        <v>0.025</v>
      </c>
      <c r="W114" s="190" t="str">
        <f>IFERROR(__xludf.DUMMYFUNCTION("if(D114="""","""",SPLIT(INDEX(IMPORTHTML(concatenate(""https://finance.yahoo.com/quote/"",D114),""table"",2),6,2),"" ""))"),"#REF!")</f>
        <v>#REF!</v>
      </c>
      <c r="X114" s="191"/>
      <c r="Y114" s="189" t="str">
        <f t="shared" si="24"/>
        <v/>
      </c>
      <c r="Z114" s="191" t="str">
        <f t="shared" si="8"/>
        <v/>
      </c>
      <c r="AA114" s="191">
        <f t="shared" si="9"/>
        <v>4</v>
      </c>
      <c r="AB114" s="70"/>
      <c r="AC114" s="175"/>
      <c r="AD114" s="177"/>
      <c r="AE114" s="175"/>
      <c r="AF114" s="180"/>
      <c r="AG114" s="180"/>
      <c r="AH114" s="180"/>
      <c r="AI114" s="180"/>
      <c r="AJ114" s="180"/>
      <c r="AK114" s="180" t="str">
        <f t="shared" si="28"/>
        <v/>
      </c>
      <c r="AL114" s="72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</row>
    <row r="115" ht="18.0" customHeight="1">
      <c r="A115" s="6"/>
      <c r="B115" s="206">
        <v>44431.0</v>
      </c>
      <c r="C115" s="176" t="s">
        <v>75</v>
      </c>
      <c r="D115" s="176" t="s">
        <v>87</v>
      </c>
      <c r="E115" s="176" t="s">
        <v>26</v>
      </c>
      <c r="F115" s="178" t="s">
        <v>27</v>
      </c>
      <c r="G115" s="206">
        <v>44435.0</v>
      </c>
      <c r="H115" s="179">
        <f>IFERROR(__xludf.DUMMYFUNCTION("GOOGLEFINANCE(D115,""price"")"),127.7)</f>
        <v>127.7</v>
      </c>
      <c r="I115" s="201">
        <v>148.0</v>
      </c>
      <c r="J115" s="181"/>
      <c r="K115" s="181"/>
      <c r="L115" s="181" t="str">
        <f t="shared" si="18"/>
        <v>Option Closed</v>
      </c>
      <c r="M115" s="212">
        <v>1.0</v>
      </c>
      <c r="N115" s="201">
        <v>1.5</v>
      </c>
      <c r="O115" s="183" t="s">
        <v>83</v>
      </c>
      <c r="P115" s="206">
        <v>44435.0</v>
      </c>
      <c r="Q115" s="184"/>
      <c r="R115" s="185">
        <f t="shared" si="19"/>
        <v>0.15</v>
      </c>
      <c r="S115" s="186">
        <f t="shared" si="26"/>
        <v>150</v>
      </c>
      <c r="T115" s="187">
        <f t="shared" si="27"/>
        <v>0</v>
      </c>
      <c r="U115" s="188">
        <f t="shared" si="22"/>
        <v>150</v>
      </c>
      <c r="V115" s="189">
        <f t="shared" si="23"/>
        <v>0.01013513514</v>
      </c>
      <c r="W115" s="190" t="str">
        <f>IFERROR(__xludf.DUMMYFUNCTION("if(D115="""","""",SPLIT(INDEX(IMPORTHTML(concatenate(""https://finance.yahoo.com/quote/"",D115),""table"",2),6,2),"" ""))"),"#REF!")</f>
        <v>#REF!</v>
      </c>
      <c r="X115" s="191"/>
      <c r="Y115" s="189" t="str">
        <f t="shared" si="24"/>
        <v/>
      </c>
      <c r="Z115" s="191" t="str">
        <f t="shared" si="8"/>
        <v/>
      </c>
      <c r="AA115" s="191">
        <f t="shared" si="9"/>
        <v>4</v>
      </c>
      <c r="AB115" s="70"/>
      <c r="AC115" s="175"/>
      <c r="AD115" s="177"/>
      <c r="AE115" s="175"/>
      <c r="AF115" s="180"/>
      <c r="AG115" s="180"/>
      <c r="AH115" s="180"/>
      <c r="AI115" s="180"/>
      <c r="AJ115" s="180"/>
      <c r="AK115" s="180" t="str">
        <f t="shared" si="28"/>
        <v/>
      </c>
      <c r="AL115" s="72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</row>
    <row r="116" ht="18.0" customHeight="1">
      <c r="A116" s="6"/>
      <c r="B116" s="206">
        <v>44431.0</v>
      </c>
      <c r="C116" s="176" t="s">
        <v>75</v>
      </c>
      <c r="D116" s="176" t="s">
        <v>85</v>
      </c>
      <c r="E116" s="176" t="s">
        <v>82</v>
      </c>
      <c r="F116" s="178" t="s">
        <v>27</v>
      </c>
      <c r="G116" s="206">
        <v>44435.0</v>
      </c>
      <c r="H116" s="179">
        <f>IFERROR(__xludf.DUMMYFUNCTION("GOOGLEFINANCE(D116,""price"")"),197.74)</f>
        <v>197.74</v>
      </c>
      <c r="I116" s="201">
        <v>103.0</v>
      </c>
      <c r="J116" s="181"/>
      <c r="K116" s="181"/>
      <c r="L116" s="181" t="str">
        <f t="shared" si="18"/>
        <v>Option Closed</v>
      </c>
      <c r="M116" s="212">
        <v>1.0</v>
      </c>
      <c r="N116" s="201">
        <v>0.85</v>
      </c>
      <c r="O116" s="183" t="s">
        <v>86</v>
      </c>
      <c r="P116" s="206">
        <v>44435.0</v>
      </c>
      <c r="Q116" s="184"/>
      <c r="R116" s="185">
        <f t="shared" si="19"/>
        <v>0.085</v>
      </c>
      <c r="S116" s="186">
        <f t="shared" si="26"/>
        <v>85</v>
      </c>
      <c r="T116" s="187">
        <f t="shared" si="27"/>
        <v>0</v>
      </c>
      <c r="U116" s="188">
        <f t="shared" si="22"/>
        <v>85</v>
      </c>
      <c r="V116" s="189">
        <f t="shared" si="23"/>
        <v>0.008252427184</v>
      </c>
      <c r="W116" s="190" t="str">
        <f>IFERROR(__xludf.DUMMYFUNCTION("if(D116="""","""",SPLIT(INDEX(IMPORTHTML(concatenate(""https://finance.yahoo.com/quote/"",D116),""table"",2),6,2),"" ""))"),"#REF!")</f>
        <v>#REF!</v>
      </c>
      <c r="X116" s="191"/>
      <c r="Y116" s="189" t="str">
        <f t="shared" si="24"/>
        <v/>
      </c>
      <c r="Z116" s="191" t="str">
        <f t="shared" si="8"/>
        <v/>
      </c>
      <c r="AA116" s="191">
        <f t="shared" si="9"/>
        <v>4</v>
      </c>
      <c r="AB116" s="70"/>
      <c r="AC116" s="175"/>
      <c r="AD116" s="177"/>
      <c r="AE116" s="175"/>
      <c r="AF116" s="180"/>
      <c r="AG116" s="180"/>
      <c r="AH116" s="180"/>
      <c r="AI116" s="180"/>
      <c r="AJ116" s="180"/>
      <c r="AK116" s="180" t="str">
        <f t="shared" si="28"/>
        <v/>
      </c>
      <c r="AL116" s="72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</row>
    <row r="117" ht="18.0" customHeight="1">
      <c r="A117" s="6"/>
      <c r="B117" s="206">
        <v>44431.0</v>
      </c>
      <c r="C117" s="176" t="s">
        <v>75</v>
      </c>
      <c r="D117" s="176" t="s">
        <v>76</v>
      </c>
      <c r="E117" s="176" t="s">
        <v>26</v>
      </c>
      <c r="F117" s="178" t="s">
        <v>27</v>
      </c>
      <c r="G117" s="206">
        <v>44435.0</v>
      </c>
      <c r="H117" s="179">
        <f>IFERROR(__xludf.DUMMYFUNCTION("GOOGLEFINANCE(D117,""price"")"),7.53)</f>
        <v>7.53</v>
      </c>
      <c r="I117" s="201">
        <v>121.0</v>
      </c>
      <c r="J117" s="181"/>
      <c r="K117" s="181"/>
      <c r="L117" s="181" t="str">
        <f t="shared" si="18"/>
        <v>Option Closed</v>
      </c>
      <c r="M117" s="212">
        <v>2.0</v>
      </c>
      <c r="N117" s="201">
        <v>0.75</v>
      </c>
      <c r="O117" s="183" t="s">
        <v>83</v>
      </c>
      <c r="P117" s="206">
        <v>44435.0</v>
      </c>
      <c r="Q117" s="184"/>
      <c r="R117" s="185">
        <f t="shared" si="19"/>
        <v>0.075</v>
      </c>
      <c r="S117" s="186">
        <f t="shared" si="26"/>
        <v>150</v>
      </c>
      <c r="T117" s="187">
        <f t="shared" si="27"/>
        <v>0</v>
      </c>
      <c r="U117" s="188">
        <f t="shared" si="22"/>
        <v>150</v>
      </c>
      <c r="V117" s="189">
        <f t="shared" si="23"/>
        <v>0.006198347107</v>
      </c>
      <c r="W117" s="190" t="str">
        <f>IFERROR(__xludf.DUMMYFUNCTION("if(D117="""","""",SPLIT(INDEX(IMPORTHTML(concatenate(""https://finance.yahoo.com/quote/"",D117),""table"",2),6,2),"" ""))"),"#REF!")</f>
        <v>#REF!</v>
      </c>
      <c r="X117" s="191"/>
      <c r="Y117" s="189" t="str">
        <f t="shared" si="24"/>
        <v/>
      </c>
      <c r="Z117" s="191" t="str">
        <f t="shared" si="8"/>
        <v/>
      </c>
      <c r="AA117" s="191">
        <f t="shared" si="9"/>
        <v>4</v>
      </c>
      <c r="AB117" s="70"/>
      <c r="AC117" s="175"/>
      <c r="AD117" s="177"/>
      <c r="AE117" s="175"/>
      <c r="AF117" s="180"/>
      <c r="AG117" s="180"/>
      <c r="AH117" s="180"/>
      <c r="AI117" s="180"/>
      <c r="AJ117" s="180"/>
      <c r="AK117" s="180" t="str">
        <f t="shared" si="28"/>
        <v/>
      </c>
      <c r="AL117" s="72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</row>
    <row r="118" ht="18.0" customHeight="1">
      <c r="A118" s="6"/>
      <c r="B118" s="206">
        <v>44431.0</v>
      </c>
      <c r="C118" s="176" t="s">
        <v>75</v>
      </c>
      <c r="D118" s="176" t="s">
        <v>103</v>
      </c>
      <c r="E118" s="176" t="s">
        <v>82</v>
      </c>
      <c r="F118" s="178" t="s">
        <v>27</v>
      </c>
      <c r="G118" s="206">
        <v>44435.0</v>
      </c>
      <c r="H118" s="179">
        <f>IFERROR(__xludf.DUMMYFUNCTION("GOOGLEFINANCE(D118,""price"")"),62.6)</f>
        <v>62.6</v>
      </c>
      <c r="I118" s="201">
        <v>108.0</v>
      </c>
      <c r="J118" s="181"/>
      <c r="K118" s="181"/>
      <c r="L118" s="181" t="str">
        <f t="shared" si="18"/>
        <v>Option Closed</v>
      </c>
      <c r="M118" s="212">
        <v>1.0</v>
      </c>
      <c r="N118" s="201">
        <v>1.3</v>
      </c>
      <c r="O118" s="183" t="s">
        <v>86</v>
      </c>
      <c r="P118" s="206">
        <v>44435.0</v>
      </c>
      <c r="Q118" s="184"/>
      <c r="R118" s="185">
        <f t="shared" si="19"/>
        <v>0.13</v>
      </c>
      <c r="S118" s="186">
        <f t="shared" si="26"/>
        <v>130</v>
      </c>
      <c r="T118" s="187">
        <f t="shared" si="27"/>
        <v>0</v>
      </c>
      <c r="U118" s="188">
        <f t="shared" si="22"/>
        <v>130</v>
      </c>
      <c r="V118" s="189">
        <f t="shared" si="23"/>
        <v>0.01203703704</v>
      </c>
      <c r="W118" s="190" t="str">
        <f>IFERROR(__xludf.DUMMYFUNCTION("if(D118="""","""",SPLIT(INDEX(IMPORTHTML(concatenate(""https://finance.yahoo.com/quote/"",D118),""table"",2),6,2),"" ""))"),"#REF!")</f>
        <v>#REF!</v>
      </c>
      <c r="X118" s="191"/>
      <c r="Y118" s="189" t="str">
        <f t="shared" si="24"/>
        <v/>
      </c>
      <c r="Z118" s="191" t="str">
        <f t="shared" si="8"/>
        <v/>
      </c>
      <c r="AA118" s="191">
        <f t="shared" si="9"/>
        <v>4</v>
      </c>
      <c r="AB118" s="70"/>
      <c r="AC118" s="175"/>
      <c r="AD118" s="177"/>
      <c r="AE118" s="175"/>
      <c r="AF118" s="180"/>
      <c r="AG118" s="180"/>
      <c r="AH118" s="180"/>
      <c r="AI118" s="180"/>
      <c r="AJ118" s="180"/>
      <c r="AK118" s="180" t="str">
        <f t="shared" si="28"/>
        <v/>
      </c>
      <c r="AL118" s="72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</row>
    <row r="119" ht="18.0" customHeight="1">
      <c r="A119" s="6"/>
      <c r="B119" s="206">
        <v>44431.0</v>
      </c>
      <c r="C119" s="176" t="s">
        <v>75</v>
      </c>
      <c r="D119" s="176" t="s">
        <v>77</v>
      </c>
      <c r="E119" s="176" t="s">
        <v>82</v>
      </c>
      <c r="F119" s="178" t="s">
        <v>27</v>
      </c>
      <c r="G119" s="206">
        <v>44435.0</v>
      </c>
      <c r="H119" s="179">
        <f>IFERROR(__xludf.DUMMYFUNCTION("GOOGLEFINANCE(D119,""price"")"),8.76)</f>
        <v>8.76</v>
      </c>
      <c r="I119" s="201">
        <v>34.5</v>
      </c>
      <c r="J119" s="181"/>
      <c r="K119" s="181"/>
      <c r="L119" s="181" t="str">
        <f t="shared" si="18"/>
        <v>Option Closed</v>
      </c>
      <c r="M119" s="212">
        <v>1.0</v>
      </c>
      <c r="N119" s="201">
        <v>0.8</v>
      </c>
      <c r="O119" s="183" t="s">
        <v>86</v>
      </c>
      <c r="P119" s="206">
        <v>44435.0</v>
      </c>
      <c r="Q119" s="184"/>
      <c r="R119" s="185">
        <f t="shared" si="19"/>
        <v>0.08</v>
      </c>
      <c r="S119" s="186">
        <f t="shared" si="26"/>
        <v>80</v>
      </c>
      <c r="T119" s="187">
        <f t="shared" si="27"/>
        <v>0</v>
      </c>
      <c r="U119" s="188">
        <f t="shared" si="22"/>
        <v>80</v>
      </c>
      <c r="V119" s="189">
        <f t="shared" si="23"/>
        <v>0.0231884058</v>
      </c>
      <c r="W119" s="190" t="str">
        <f>IFERROR(__xludf.DUMMYFUNCTION("if(D119="""","""",SPLIT(INDEX(IMPORTHTML(concatenate(""https://finance.yahoo.com/quote/"",D119),""table"",2),6,2),"" ""))"),"#REF!")</f>
        <v>#REF!</v>
      </c>
      <c r="X119" s="191"/>
      <c r="Y119" s="189" t="str">
        <f t="shared" si="24"/>
        <v/>
      </c>
      <c r="Z119" s="191" t="str">
        <f t="shared" si="8"/>
        <v/>
      </c>
      <c r="AA119" s="191">
        <f t="shared" si="9"/>
        <v>4</v>
      </c>
      <c r="AB119" s="70"/>
      <c r="AC119" s="175"/>
      <c r="AD119" s="177"/>
      <c r="AE119" s="175"/>
      <c r="AF119" s="180"/>
      <c r="AG119" s="180"/>
      <c r="AH119" s="180"/>
      <c r="AI119" s="180"/>
      <c r="AJ119" s="180"/>
      <c r="AK119" s="180" t="str">
        <f t="shared" si="28"/>
        <v/>
      </c>
      <c r="AL119" s="72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</row>
    <row r="120" ht="18.0" customHeight="1">
      <c r="A120" s="6"/>
      <c r="B120" s="206">
        <v>44432.0</v>
      </c>
      <c r="C120" s="176" t="s">
        <v>91</v>
      </c>
      <c r="D120" s="176" t="s">
        <v>78</v>
      </c>
      <c r="E120" s="176" t="s">
        <v>26</v>
      </c>
      <c r="F120" s="178" t="s">
        <v>27</v>
      </c>
      <c r="G120" s="206">
        <v>44456.0</v>
      </c>
      <c r="H120" s="179">
        <f>IFERROR(__xludf.DUMMYFUNCTION("GOOGLEFINANCE(D120,""price"")"),720.66)</f>
        <v>720.66</v>
      </c>
      <c r="I120" s="201">
        <v>440.0</v>
      </c>
      <c r="J120" s="181"/>
      <c r="K120" s="181"/>
      <c r="L120" s="181" t="str">
        <f t="shared" si="18"/>
        <v>Option Closed</v>
      </c>
      <c r="M120" s="212">
        <v>6.0</v>
      </c>
      <c r="N120" s="201">
        <v>0.65</v>
      </c>
      <c r="O120" s="183" t="s">
        <v>45</v>
      </c>
      <c r="P120" s="206">
        <v>44454.0</v>
      </c>
      <c r="Q120" s="184">
        <v>0.05</v>
      </c>
      <c r="R120" s="185">
        <f t="shared" si="19"/>
        <v>0.065</v>
      </c>
      <c r="S120" s="186">
        <f t="shared" si="26"/>
        <v>390</v>
      </c>
      <c r="T120" s="187">
        <f t="shared" si="27"/>
        <v>-30</v>
      </c>
      <c r="U120" s="188">
        <f t="shared" si="22"/>
        <v>360</v>
      </c>
      <c r="V120" s="189">
        <f t="shared" si="23"/>
        <v>0.001477272727</v>
      </c>
      <c r="W120" s="190" t="str">
        <f>IFERROR(__xludf.DUMMYFUNCTION("if(D120="""","""",SPLIT(INDEX(IMPORTHTML(concatenate(""https://finance.yahoo.com/quote/"",D120),""table"",2),6,2),"" ""))"),"#REF!")</f>
        <v>#REF!</v>
      </c>
      <c r="X120" s="191"/>
      <c r="Y120" s="189" t="str">
        <f t="shared" si="24"/>
        <v/>
      </c>
      <c r="Z120" s="191" t="str">
        <f t="shared" si="8"/>
        <v/>
      </c>
      <c r="AA120" s="191">
        <f t="shared" si="9"/>
        <v>22</v>
      </c>
      <c r="AB120" s="70"/>
      <c r="AC120" s="175"/>
      <c r="AD120" s="177"/>
      <c r="AE120" s="175"/>
      <c r="AF120" s="180"/>
      <c r="AG120" s="180"/>
      <c r="AH120" s="180"/>
      <c r="AI120" s="180"/>
      <c r="AJ120" s="180"/>
      <c r="AK120" s="180" t="str">
        <f t="shared" si="28"/>
        <v/>
      </c>
      <c r="AL120" s="72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</row>
    <row r="121" ht="18.0" customHeight="1">
      <c r="A121" s="6"/>
      <c r="B121" s="206">
        <v>44435.0</v>
      </c>
      <c r="C121" s="176" t="s">
        <v>75</v>
      </c>
      <c r="D121" s="176" t="s">
        <v>77</v>
      </c>
      <c r="E121" s="176" t="s">
        <v>26</v>
      </c>
      <c r="F121" s="178" t="s">
        <v>27</v>
      </c>
      <c r="G121" s="206">
        <v>44442.0</v>
      </c>
      <c r="H121" s="179">
        <f>IFERROR(__xludf.DUMMYFUNCTION("GOOGLEFINANCE(D121,""price"")"),8.76)</f>
        <v>8.76</v>
      </c>
      <c r="I121" s="201">
        <v>44.0</v>
      </c>
      <c r="J121" s="200">
        <v>0.88</v>
      </c>
      <c r="K121" s="200">
        <v>0.23</v>
      </c>
      <c r="L121" s="181" t="str">
        <f t="shared" si="18"/>
        <v>Option Closed</v>
      </c>
      <c r="M121" s="212">
        <v>3.0</v>
      </c>
      <c r="N121" s="201">
        <v>0.95</v>
      </c>
      <c r="O121" s="183" t="s">
        <v>45</v>
      </c>
      <c r="P121" s="206">
        <v>44442.0</v>
      </c>
      <c r="Q121" s="184">
        <v>0.05</v>
      </c>
      <c r="R121" s="185">
        <f t="shared" si="19"/>
        <v>0.095</v>
      </c>
      <c r="S121" s="186">
        <f t="shared" si="26"/>
        <v>285</v>
      </c>
      <c r="T121" s="187">
        <f t="shared" si="27"/>
        <v>-15</v>
      </c>
      <c r="U121" s="188">
        <f t="shared" si="22"/>
        <v>270</v>
      </c>
      <c r="V121" s="189">
        <f t="shared" si="23"/>
        <v>0.02159090909</v>
      </c>
      <c r="W121" s="190" t="str">
        <f>IFERROR(__xludf.DUMMYFUNCTION("if(D121="""","""",SPLIT(INDEX(IMPORTHTML(concatenate(""https://finance.yahoo.com/quote/"",D121),""table"",2),6,2),"" ""))"),"#REF!")</f>
        <v>#REF!</v>
      </c>
      <c r="X121" s="191"/>
      <c r="Y121" s="189" t="str">
        <f t="shared" si="24"/>
        <v/>
      </c>
      <c r="Z121" s="191" t="str">
        <f t="shared" si="8"/>
        <v/>
      </c>
      <c r="AA121" s="191">
        <f t="shared" si="9"/>
        <v>7</v>
      </c>
      <c r="AB121" s="70"/>
      <c r="AC121" s="175"/>
      <c r="AD121" s="177"/>
      <c r="AE121" s="175"/>
      <c r="AF121" s="180"/>
      <c r="AG121" s="180"/>
      <c r="AH121" s="180"/>
      <c r="AI121" s="180"/>
      <c r="AJ121" s="180"/>
      <c r="AK121" s="180" t="str">
        <f t="shared" si="28"/>
        <v/>
      </c>
      <c r="AL121" s="72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</row>
    <row r="122" ht="18.0" customHeight="1">
      <c r="A122" s="6"/>
      <c r="B122" s="206">
        <v>44438.0</v>
      </c>
      <c r="C122" s="176" t="s">
        <v>75</v>
      </c>
      <c r="D122" s="176" t="s">
        <v>85</v>
      </c>
      <c r="E122" s="176" t="s">
        <v>82</v>
      </c>
      <c r="F122" s="178" t="s">
        <v>27</v>
      </c>
      <c r="G122" s="206">
        <v>44442.0</v>
      </c>
      <c r="H122" s="179">
        <f>IFERROR(__xludf.DUMMYFUNCTION("GOOGLEFINANCE(D122,""price"")"),197.74)</f>
        <v>197.74</v>
      </c>
      <c r="I122" s="201">
        <v>109.0</v>
      </c>
      <c r="J122" s="200"/>
      <c r="K122" s="200"/>
      <c r="L122" s="181" t="str">
        <f t="shared" si="18"/>
        <v>Option Closed</v>
      </c>
      <c r="M122" s="212">
        <v>1.0</v>
      </c>
      <c r="N122" s="201">
        <v>0.85</v>
      </c>
      <c r="O122" s="183" t="s">
        <v>86</v>
      </c>
      <c r="P122" s="206"/>
      <c r="Q122" s="184"/>
      <c r="R122" s="185">
        <f t="shared" si="19"/>
        <v>0.085</v>
      </c>
      <c r="S122" s="186">
        <f t="shared" si="26"/>
        <v>85</v>
      </c>
      <c r="T122" s="187">
        <f t="shared" si="27"/>
        <v>0</v>
      </c>
      <c r="U122" s="188">
        <f t="shared" si="22"/>
        <v>85</v>
      </c>
      <c r="V122" s="189">
        <f t="shared" si="23"/>
        <v>0.007798165138</v>
      </c>
      <c r="W122" s="190" t="str">
        <f>IFERROR(__xludf.DUMMYFUNCTION("if(D122="""","""",SPLIT(INDEX(IMPORTHTML(concatenate(""https://finance.yahoo.com/quote/"",D122),""table"",2),6,2),"" ""))"),"#REF!")</f>
        <v>#REF!</v>
      </c>
      <c r="X122" s="191"/>
      <c r="Y122" s="189" t="str">
        <f t="shared" si="24"/>
        <v/>
      </c>
      <c r="Z122" s="191" t="str">
        <f t="shared" si="8"/>
        <v/>
      </c>
      <c r="AA122" s="191">
        <f t="shared" si="9"/>
        <v>4</v>
      </c>
      <c r="AB122" s="70"/>
      <c r="AC122" s="175"/>
      <c r="AD122" s="177"/>
      <c r="AE122" s="175"/>
      <c r="AF122" s="180"/>
      <c r="AG122" s="180"/>
      <c r="AH122" s="180"/>
      <c r="AI122" s="180"/>
      <c r="AJ122" s="180"/>
      <c r="AK122" s="180" t="str">
        <f t="shared" si="28"/>
        <v/>
      </c>
      <c r="AL122" s="72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</row>
    <row r="123" ht="18.0" customHeight="1">
      <c r="A123" s="6"/>
      <c r="B123" s="206">
        <v>44438.0</v>
      </c>
      <c r="C123" s="176" t="s">
        <v>75</v>
      </c>
      <c r="D123" s="176" t="s">
        <v>87</v>
      </c>
      <c r="E123" s="176" t="s">
        <v>82</v>
      </c>
      <c r="F123" s="178" t="s">
        <v>27</v>
      </c>
      <c r="G123" s="206">
        <v>44442.0</v>
      </c>
      <c r="H123" s="179">
        <f>IFERROR(__xludf.DUMMYFUNCTION("GOOGLEFINANCE(D123,""price"")"),127.7)</f>
        <v>127.7</v>
      </c>
      <c r="I123" s="201">
        <v>148.0</v>
      </c>
      <c r="J123" s="200"/>
      <c r="K123" s="200"/>
      <c r="L123" s="181" t="str">
        <f t="shared" si="18"/>
        <v>Option Closed</v>
      </c>
      <c r="M123" s="212">
        <v>1.0</v>
      </c>
      <c r="N123" s="201">
        <v>0.9</v>
      </c>
      <c r="O123" s="183" t="s">
        <v>86</v>
      </c>
      <c r="P123" s="206"/>
      <c r="Q123" s="184"/>
      <c r="R123" s="185">
        <f t="shared" si="19"/>
        <v>0.09</v>
      </c>
      <c r="S123" s="186">
        <f t="shared" si="26"/>
        <v>90</v>
      </c>
      <c r="T123" s="187">
        <f t="shared" si="27"/>
        <v>0</v>
      </c>
      <c r="U123" s="188">
        <f t="shared" si="22"/>
        <v>90</v>
      </c>
      <c r="V123" s="189">
        <f t="shared" si="23"/>
        <v>0.006081081081</v>
      </c>
      <c r="W123" s="190" t="str">
        <f>IFERROR(__xludf.DUMMYFUNCTION("if(D123="""","""",SPLIT(INDEX(IMPORTHTML(concatenate(""https://finance.yahoo.com/quote/"",D123),""table"",2),6,2),"" ""))"),"#REF!")</f>
        <v>#REF!</v>
      </c>
      <c r="X123" s="191"/>
      <c r="Y123" s="189" t="str">
        <f t="shared" si="24"/>
        <v/>
      </c>
      <c r="Z123" s="191" t="str">
        <f t="shared" si="8"/>
        <v/>
      </c>
      <c r="AA123" s="191">
        <f t="shared" si="9"/>
        <v>4</v>
      </c>
      <c r="AB123" s="70"/>
      <c r="AC123" s="175"/>
      <c r="AD123" s="177"/>
      <c r="AE123" s="175"/>
      <c r="AF123" s="180"/>
      <c r="AG123" s="180"/>
      <c r="AH123" s="180"/>
      <c r="AI123" s="180"/>
      <c r="AJ123" s="180"/>
      <c r="AK123" s="180" t="str">
        <f t="shared" si="28"/>
        <v/>
      </c>
      <c r="AL123" s="72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</row>
    <row r="124" ht="18.0" customHeight="1">
      <c r="A124" s="6"/>
      <c r="B124" s="206">
        <v>44438.0</v>
      </c>
      <c r="C124" s="176" t="s">
        <v>75</v>
      </c>
      <c r="D124" s="176" t="s">
        <v>76</v>
      </c>
      <c r="E124" s="176" t="s">
        <v>26</v>
      </c>
      <c r="F124" s="178" t="s">
        <v>27</v>
      </c>
      <c r="G124" s="206">
        <v>44442.0</v>
      </c>
      <c r="H124" s="179">
        <f>IFERROR(__xludf.DUMMYFUNCTION("GOOGLEFINANCE(D124,""price"")"),7.53)</f>
        <v>7.53</v>
      </c>
      <c r="I124" s="201">
        <v>125.0</v>
      </c>
      <c r="J124" s="200"/>
      <c r="K124" s="200"/>
      <c r="L124" s="181" t="str">
        <f t="shared" si="18"/>
        <v>Option Closed</v>
      </c>
      <c r="M124" s="212">
        <v>2.0</v>
      </c>
      <c r="N124" s="201">
        <v>0.7</v>
      </c>
      <c r="O124" s="183" t="s">
        <v>83</v>
      </c>
      <c r="P124" s="206"/>
      <c r="Q124" s="184"/>
      <c r="R124" s="185">
        <f t="shared" si="19"/>
        <v>0.07</v>
      </c>
      <c r="S124" s="186">
        <f t="shared" si="26"/>
        <v>140</v>
      </c>
      <c r="T124" s="187">
        <f t="shared" si="27"/>
        <v>0</v>
      </c>
      <c r="U124" s="188">
        <f t="shared" si="22"/>
        <v>140</v>
      </c>
      <c r="V124" s="189">
        <f t="shared" si="23"/>
        <v>0.0056</v>
      </c>
      <c r="W124" s="190" t="str">
        <f>IFERROR(__xludf.DUMMYFUNCTION("if(D124="""","""",SPLIT(INDEX(IMPORTHTML(concatenate(""https://finance.yahoo.com/quote/"",D124),""table"",2),6,2),"" ""))"),"#REF!")</f>
        <v>#REF!</v>
      </c>
      <c r="X124" s="191"/>
      <c r="Y124" s="189" t="str">
        <f t="shared" si="24"/>
        <v/>
      </c>
      <c r="Z124" s="191" t="str">
        <f t="shared" si="8"/>
        <v/>
      </c>
      <c r="AA124" s="191">
        <f t="shared" si="9"/>
        <v>4</v>
      </c>
      <c r="AB124" s="70"/>
      <c r="AC124" s="175"/>
      <c r="AD124" s="177"/>
      <c r="AE124" s="175"/>
      <c r="AF124" s="180"/>
      <c r="AG124" s="180"/>
      <c r="AH124" s="180"/>
      <c r="AI124" s="180"/>
      <c r="AJ124" s="180"/>
      <c r="AK124" s="180" t="str">
        <f t="shared" si="28"/>
        <v/>
      </c>
      <c r="AL124" s="72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</row>
    <row r="125" ht="18.0" customHeight="1">
      <c r="A125" s="6"/>
      <c r="B125" s="206">
        <v>44440.0</v>
      </c>
      <c r="C125" s="176" t="s">
        <v>91</v>
      </c>
      <c r="D125" s="176" t="s">
        <v>104</v>
      </c>
      <c r="E125" s="176" t="s">
        <v>26</v>
      </c>
      <c r="F125" s="176" t="s">
        <v>27</v>
      </c>
      <c r="G125" s="206">
        <v>44547.0</v>
      </c>
      <c r="H125" s="179">
        <f>IFERROR(__xludf.DUMMYFUNCTION("GOOGLEFINANCE(D125,""price"")"),118.81)</f>
        <v>118.81</v>
      </c>
      <c r="I125" s="201">
        <v>95.0</v>
      </c>
      <c r="J125" s="181"/>
      <c r="K125" s="181"/>
      <c r="L125" s="181" t="str">
        <f t="shared" si="18"/>
        <v>Option Closed</v>
      </c>
      <c r="M125" s="212">
        <v>1.0</v>
      </c>
      <c r="N125" s="201">
        <v>1.25</v>
      </c>
      <c r="O125" s="183" t="s">
        <v>45</v>
      </c>
      <c r="P125" s="206">
        <v>44487.0</v>
      </c>
      <c r="Q125" s="184">
        <v>0.1</v>
      </c>
      <c r="R125" s="185">
        <f t="shared" si="19"/>
        <v>0.125</v>
      </c>
      <c r="S125" s="186">
        <f t="shared" si="26"/>
        <v>125</v>
      </c>
      <c r="T125" s="187">
        <f t="shared" si="27"/>
        <v>-10</v>
      </c>
      <c r="U125" s="188">
        <f t="shared" si="22"/>
        <v>115</v>
      </c>
      <c r="V125" s="189">
        <f t="shared" si="23"/>
        <v>0.01315789474</v>
      </c>
      <c r="W125" s="190" t="str">
        <f>IFERROR(__xludf.DUMMYFUNCTION("if(D125="""","""",SPLIT(INDEX(IMPORTHTML(concatenate(""https://finance.yahoo.com/quote/"",D125),""table"",2),6,2),"" ""))"),"#REF!")</f>
        <v>#REF!</v>
      </c>
      <c r="X125" s="191"/>
      <c r="Y125" s="189" t="str">
        <f t="shared" si="24"/>
        <v/>
      </c>
      <c r="Z125" s="191" t="str">
        <f t="shared" si="8"/>
        <v/>
      </c>
      <c r="AA125" s="191">
        <f t="shared" si="9"/>
        <v>47</v>
      </c>
      <c r="AB125" s="70"/>
      <c r="AC125" s="175"/>
      <c r="AD125" s="177"/>
      <c r="AE125" s="175"/>
      <c r="AF125" s="180"/>
      <c r="AG125" s="180"/>
      <c r="AH125" s="180"/>
      <c r="AI125" s="180"/>
      <c r="AJ125" s="180"/>
      <c r="AK125" s="180" t="str">
        <f t="shared" si="28"/>
        <v/>
      </c>
      <c r="AL125" s="72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</row>
    <row r="126" ht="18.0" customHeight="1">
      <c r="A126" s="6"/>
      <c r="B126" s="206">
        <v>44446.0</v>
      </c>
      <c r="C126" s="176" t="s">
        <v>75</v>
      </c>
      <c r="D126" s="176" t="s">
        <v>85</v>
      </c>
      <c r="E126" s="176" t="s">
        <v>82</v>
      </c>
      <c r="F126" s="178" t="s">
        <v>27</v>
      </c>
      <c r="G126" s="206">
        <v>44449.0</v>
      </c>
      <c r="H126" s="179">
        <f>IFERROR(__xludf.DUMMYFUNCTION("GOOGLEFINANCE(D126,""price"")"),197.74)</f>
        <v>197.74</v>
      </c>
      <c r="I126" s="201">
        <v>105.0</v>
      </c>
      <c r="J126" s="200"/>
      <c r="K126" s="200"/>
      <c r="L126" s="181" t="str">
        <f t="shared" si="18"/>
        <v>Option Closed</v>
      </c>
      <c r="M126" s="212">
        <v>1.0</v>
      </c>
      <c r="N126" s="201">
        <v>0.45</v>
      </c>
      <c r="O126" s="183" t="s">
        <v>86</v>
      </c>
      <c r="P126" s="206"/>
      <c r="Q126" s="184"/>
      <c r="R126" s="185">
        <f t="shared" si="19"/>
        <v>0.045</v>
      </c>
      <c r="S126" s="186">
        <f t="shared" si="26"/>
        <v>45</v>
      </c>
      <c r="T126" s="187">
        <f t="shared" si="27"/>
        <v>0</v>
      </c>
      <c r="U126" s="188">
        <f t="shared" si="22"/>
        <v>45</v>
      </c>
      <c r="V126" s="189">
        <f t="shared" si="23"/>
        <v>0.004285714286</v>
      </c>
      <c r="W126" s="190" t="str">
        <f>IFERROR(__xludf.DUMMYFUNCTION("if(D126="""","""",SPLIT(INDEX(IMPORTHTML(concatenate(""https://finance.yahoo.com/quote/"",D126),""table"",2),6,2),"" ""))"),"#REF!")</f>
        <v>#REF!</v>
      </c>
      <c r="X126" s="191"/>
      <c r="Y126" s="189" t="str">
        <f t="shared" si="24"/>
        <v/>
      </c>
      <c r="Z126" s="191" t="str">
        <f t="shared" si="8"/>
        <v/>
      </c>
      <c r="AA126" s="191">
        <f t="shared" si="9"/>
        <v>3</v>
      </c>
      <c r="AB126" s="70"/>
      <c r="AC126" s="175"/>
      <c r="AD126" s="177"/>
      <c r="AE126" s="175"/>
      <c r="AF126" s="180"/>
      <c r="AG126" s="180"/>
      <c r="AH126" s="180"/>
      <c r="AI126" s="180"/>
      <c r="AJ126" s="180"/>
      <c r="AK126" s="180" t="str">
        <f t="shared" si="28"/>
        <v/>
      </c>
      <c r="AL126" s="72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</row>
    <row r="127" ht="18.0" customHeight="1">
      <c r="A127" s="6"/>
      <c r="B127" s="206">
        <v>44446.0</v>
      </c>
      <c r="C127" s="176" t="s">
        <v>75</v>
      </c>
      <c r="D127" s="176" t="s">
        <v>76</v>
      </c>
      <c r="E127" s="176" t="s">
        <v>26</v>
      </c>
      <c r="F127" s="178" t="s">
        <v>27</v>
      </c>
      <c r="G127" s="206">
        <v>44449.0</v>
      </c>
      <c r="H127" s="179">
        <f>IFERROR(__xludf.DUMMYFUNCTION("GOOGLEFINANCE(D127,""price"")"),7.53)</f>
        <v>7.53</v>
      </c>
      <c r="I127" s="201">
        <v>125.0</v>
      </c>
      <c r="J127" s="181"/>
      <c r="K127" s="181"/>
      <c r="L127" s="181" t="str">
        <f t="shared" si="18"/>
        <v>Option Closed</v>
      </c>
      <c r="M127" s="212">
        <v>2.0</v>
      </c>
      <c r="N127" s="201">
        <v>0.6</v>
      </c>
      <c r="O127" s="183" t="s">
        <v>45</v>
      </c>
      <c r="P127" s="206">
        <v>44448.0</v>
      </c>
      <c r="Q127" s="184">
        <v>0.02</v>
      </c>
      <c r="R127" s="185">
        <f t="shared" si="19"/>
        <v>0.06</v>
      </c>
      <c r="S127" s="186">
        <f t="shared" si="26"/>
        <v>120</v>
      </c>
      <c r="T127" s="187">
        <f t="shared" si="27"/>
        <v>-4</v>
      </c>
      <c r="U127" s="188">
        <f t="shared" si="22"/>
        <v>116</v>
      </c>
      <c r="V127" s="189">
        <f t="shared" si="23"/>
        <v>0.0048</v>
      </c>
      <c r="W127" s="190" t="str">
        <f>IFERROR(__xludf.DUMMYFUNCTION("if(D127="""","""",SPLIT(INDEX(IMPORTHTML(concatenate(""https://finance.yahoo.com/quote/"",D127),""table"",2),6,2),"" ""))"),"#REF!")</f>
        <v>#REF!</v>
      </c>
      <c r="X127" s="191"/>
      <c r="Y127" s="189" t="str">
        <f t="shared" si="24"/>
        <v/>
      </c>
      <c r="Z127" s="191" t="str">
        <f t="shared" si="8"/>
        <v/>
      </c>
      <c r="AA127" s="191">
        <f t="shared" si="9"/>
        <v>2</v>
      </c>
      <c r="AB127" s="70"/>
      <c r="AC127" s="175"/>
      <c r="AD127" s="177"/>
      <c r="AE127" s="175"/>
      <c r="AF127" s="180"/>
      <c r="AG127" s="180"/>
      <c r="AH127" s="180"/>
      <c r="AI127" s="180"/>
      <c r="AJ127" s="180"/>
      <c r="AK127" s="180" t="str">
        <f t="shared" si="28"/>
        <v/>
      </c>
      <c r="AL127" s="72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</row>
    <row r="128" ht="18.0" customHeight="1">
      <c r="A128" s="6"/>
      <c r="B128" s="206">
        <v>44446.0</v>
      </c>
      <c r="C128" s="176" t="s">
        <v>75</v>
      </c>
      <c r="D128" s="176" t="s">
        <v>79</v>
      </c>
      <c r="E128" s="176" t="s">
        <v>26</v>
      </c>
      <c r="F128" s="178" t="s">
        <v>27</v>
      </c>
      <c r="G128" s="206">
        <v>44449.0</v>
      </c>
      <c r="H128" s="179">
        <f>IFERROR(__xludf.DUMMYFUNCTION("GOOGLEFINANCE(D128,""price"")"),5.55)</f>
        <v>5.55</v>
      </c>
      <c r="I128" s="201">
        <v>44.0</v>
      </c>
      <c r="J128" s="181"/>
      <c r="K128" s="181"/>
      <c r="L128" s="181" t="str">
        <f t="shared" si="18"/>
        <v>Option Closed</v>
      </c>
      <c r="M128" s="212">
        <v>2.0</v>
      </c>
      <c r="N128" s="201">
        <v>0.2</v>
      </c>
      <c r="O128" s="183" t="s">
        <v>45</v>
      </c>
      <c r="P128" s="206">
        <v>44448.0</v>
      </c>
      <c r="Q128" s="184">
        <v>0.01</v>
      </c>
      <c r="R128" s="185">
        <f t="shared" si="19"/>
        <v>0.02</v>
      </c>
      <c r="S128" s="186">
        <f t="shared" si="26"/>
        <v>40</v>
      </c>
      <c r="T128" s="187">
        <f t="shared" si="27"/>
        <v>-2</v>
      </c>
      <c r="U128" s="188">
        <f t="shared" si="22"/>
        <v>38</v>
      </c>
      <c r="V128" s="189">
        <f t="shared" si="23"/>
        <v>0.004545454545</v>
      </c>
      <c r="W128" s="190" t="str">
        <f>IFERROR(__xludf.DUMMYFUNCTION("if(D128="""","""",SPLIT(INDEX(IMPORTHTML(concatenate(""https://finance.yahoo.com/quote/"",D128),""table"",2),6,2),"" ""))"),"#REF!")</f>
        <v>#REF!</v>
      </c>
      <c r="X128" s="191"/>
      <c r="Y128" s="189" t="str">
        <f t="shared" si="24"/>
        <v/>
      </c>
      <c r="Z128" s="191" t="str">
        <f t="shared" si="8"/>
        <v/>
      </c>
      <c r="AA128" s="191">
        <f t="shared" si="9"/>
        <v>2</v>
      </c>
      <c r="AB128" s="70"/>
      <c r="AC128" s="175"/>
      <c r="AD128" s="177"/>
      <c r="AE128" s="175"/>
      <c r="AF128" s="180"/>
      <c r="AG128" s="180"/>
      <c r="AH128" s="180"/>
      <c r="AI128" s="180"/>
      <c r="AJ128" s="180"/>
      <c r="AK128" s="180" t="str">
        <f t="shared" si="28"/>
        <v/>
      </c>
      <c r="AL128" s="72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</row>
    <row r="129" ht="18.0" customHeight="1">
      <c r="A129" s="6"/>
      <c r="B129" s="206">
        <v>44447.0</v>
      </c>
      <c r="C129" s="176" t="s">
        <v>75</v>
      </c>
      <c r="D129" s="176" t="s">
        <v>77</v>
      </c>
      <c r="E129" s="176" t="s">
        <v>26</v>
      </c>
      <c r="F129" s="178" t="s">
        <v>27</v>
      </c>
      <c r="G129" s="206">
        <v>44456.0</v>
      </c>
      <c r="H129" s="179">
        <f>IFERROR(__xludf.DUMMYFUNCTION("GOOGLEFINANCE(D129,""price"")"),8.76)</f>
        <v>8.76</v>
      </c>
      <c r="I129" s="201">
        <v>50.0</v>
      </c>
      <c r="J129" s="200"/>
      <c r="K129" s="200"/>
      <c r="L129" s="181" t="str">
        <f t="shared" si="18"/>
        <v>Option Closed</v>
      </c>
      <c r="M129" s="212">
        <v>3.0</v>
      </c>
      <c r="N129" s="201">
        <v>1.06</v>
      </c>
      <c r="O129" s="183" t="s">
        <v>45</v>
      </c>
      <c r="P129" s="206">
        <v>44449.0</v>
      </c>
      <c r="Q129" s="184">
        <v>0.1</v>
      </c>
      <c r="R129" s="185">
        <f t="shared" si="19"/>
        <v>0.106</v>
      </c>
      <c r="S129" s="186">
        <f t="shared" si="26"/>
        <v>318</v>
      </c>
      <c r="T129" s="187">
        <f t="shared" si="27"/>
        <v>-30</v>
      </c>
      <c r="U129" s="188">
        <f t="shared" si="22"/>
        <v>288</v>
      </c>
      <c r="V129" s="189">
        <f t="shared" si="23"/>
        <v>0.0212</v>
      </c>
      <c r="W129" s="190" t="str">
        <f>IFERROR(__xludf.DUMMYFUNCTION("if(D129="""","""",SPLIT(INDEX(IMPORTHTML(concatenate(""https://finance.yahoo.com/quote/"",D129),""table"",2),6,2),"" ""))"),"#REF!")</f>
        <v>#REF!</v>
      </c>
      <c r="X129" s="191"/>
      <c r="Y129" s="189" t="str">
        <f t="shared" si="24"/>
        <v/>
      </c>
      <c r="Z129" s="191" t="str">
        <f t="shared" si="8"/>
        <v/>
      </c>
      <c r="AA129" s="191">
        <f t="shared" si="9"/>
        <v>2</v>
      </c>
      <c r="AB129" s="70"/>
      <c r="AC129" s="175"/>
      <c r="AD129" s="177"/>
      <c r="AE129" s="175"/>
      <c r="AF129" s="180"/>
      <c r="AG129" s="180"/>
      <c r="AH129" s="180"/>
      <c r="AI129" s="180"/>
      <c r="AJ129" s="180"/>
      <c r="AK129" s="180" t="str">
        <f t="shared" si="28"/>
        <v/>
      </c>
      <c r="AL129" s="72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</row>
    <row r="130" ht="18.0" customHeight="1">
      <c r="A130" s="6"/>
      <c r="B130" s="206">
        <v>44447.0</v>
      </c>
      <c r="C130" s="176" t="s">
        <v>75</v>
      </c>
      <c r="D130" s="176" t="s">
        <v>101</v>
      </c>
      <c r="E130" s="176" t="s">
        <v>82</v>
      </c>
      <c r="F130" s="178" t="s">
        <v>27</v>
      </c>
      <c r="G130" s="206">
        <v>44456.0</v>
      </c>
      <c r="H130" s="179">
        <f>IFERROR(__xludf.DUMMYFUNCTION("GOOGLEFINANCE(D130,""price"")"),183.16)</f>
        <v>183.16</v>
      </c>
      <c r="I130" s="201">
        <v>210.0</v>
      </c>
      <c r="J130" s="200"/>
      <c r="K130" s="200"/>
      <c r="L130" s="181" t="str">
        <f t="shared" si="18"/>
        <v>Option Closed</v>
      </c>
      <c r="M130" s="212">
        <v>1.0</v>
      </c>
      <c r="N130" s="201">
        <v>1.25</v>
      </c>
      <c r="O130" s="183" t="s">
        <v>86</v>
      </c>
      <c r="P130" s="206"/>
      <c r="Q130" s="184"/>
      <c r="R130" s="185">
        <f t="shared" si="19"/>
        <v>0.125</v>
      </c>
      <c r="S130" s="186">
        <f t="shared" si="26"/>
        <v>125</v>
      </c>
      <c r="T130" s="187">
        <f t="shared" si="27"/>
        <v>0</v>
      </c>
      <c r="U130" s="188">
        <f t="shared" si="22"/>
        <v>125</v>
      </c>
      <c r="V130" s="189">
        <f t="shared" si="23"/>
        <v>0.005952380952</v>
      </c>
      <c r="W130" s="190" t="str">
        <f>IFERROR(__xludf.DUMMYFUNCTION("if(D130="""","""",SPLIT(INDEX(IMPORTHTML(concatenate(""https://finance.yahoo.com/quote/"",D130),""table"",2),6,2),"" ""))"),"#REF!")</f>
        <v>#REF!</v>
      </c>
      <c r="X130" s="191"/>
      <c r="Y130" s="189" t="str">
        <f t="shared" si="24"/>
        <v/>
      </c>
      <c r="Z130" s="191" t="str">
        <f t="shared" si="8"/>
        <v/>
      </c>
      <c r="AA130" s="191">
        <f t="shared" si="9"/>
        <v>9</v>
      </c>
      <c r="AB130" s="70"/>
      <c r="AC130" s="175"/>
      <c r="AD130" s="177"/>
      <c r="AE130" s="175"/>
      <c r="AF130" s="180"/>
      <c r="AG130" s="180"/>
      <c r="AH130" s="180"/>
      <c r="AI130" s="180"/>
      <c r="AJ130" s="180"/>
      <c r="AK130" s="180" t="str">
        <f t="shared" si="28"/>
        <v/>
      </c>
      <c r="AL130" s="72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</row>
    <row r="131" ht="18.0" customHeight="1">
      <c r="A131" s="6"/>
      <c r="B131" s="206">
        <v>44449.0</v>
      </c>
      <c r="C131" s="176" t="s">
        <v>75</v>
      </c>
      <c r="D131" s="176" t="s">
        <v>77</v>
      </c>
      <c r="E131" s="176" t="s">
        <v>82</v>
      </c>
      <c r="F131" s="178" t="s">
        <v>27</v>
      </c>
      <c r="G131" s="206">
        <v>44456.0</v>
      </c>
      <c r="H131" s="179">
        <f>IFERROR(__xludf.DUMMYFUNCTION("GOOGLEFINANCE(D131,""price"")"),8.76)</f>
        <v>8.76</v>
      </c>
      <c r="I131" s="201">
        <v>34.5</v>
      </c>
      <c r="J131" s="200"/>
      <c r="K131" s="200"/>
      <c r="L131" s="181" t="str">
        <f t="shared" si="18"/>
        <v>Option Closed</v>
      </c>
      <c r="M131" s="212">
        <v>1.0</v>
      </c>
      <c r="N131" s="201">
        <v>0.75</v>
      </c>
      <c r="O131" s="183" t="s">
        <v>86</v>
      </c>
      <c r="P131" s="206"/>
      <c r="Q131" s="184"/>
      <c r="R131" s="185">
        <f t="shared" si="19"/>
        <v>0.075</v>
      </c>
      <c r="S131" s="186">
        <f t="shared" si="26"/>
        <v>75</v>
      </c>
      <c r="T131" s="187">
        <f t="shared" si="27"/>
        <v>0</v>
      </c>
      <c r="U131" s="188">
        <f t="shared" si="22"/>
        <v>75</v>
      </c>
      <c r="V131" s="189">
        <f t="shared" si="23"/>
        <v>0.02173913043</v>
      </c>
      <c r="W131" s="190" t="str">
        <f>IFERROR(__xludf.DUMMYFUNCTION("if(D131="""","""",SPLIT(INDEX(IMPORTHTML(concatenate(""https://finance.yahoo.com/quote/"",D131),""table"",2),6,2),"" ""))"),"#REF!")</f>
        <v>#REF!</v>
      </c>
      <c r="X131" s="191"/>
      <c r="Y131" s="189" t="str">
        <f t="shared" si="24"/>
        <v/>
      </c>
      <c r="Z131" s="191" t="str">
        <f t="shared" si="8"/>
        <v/>
      </c>
      <c r="AA131" s="191">
        <f t="shared" si="9"/>
        <v>7</v>
      </c>
      <c r="AB131" s="70"/>
      <c r="AC131" s="175"/>
      <c r="AD131" s="177"/>
      <c r="AE131" s="175"/>
      <c r="AF131" s="180"/>
      <c r="AG131" s="180"/>
      <c r="AH131" s="180"/>
      <c r="AI131" s="180"/>
      <c r="AJ131" s="180"/>
      <c r="AK131" s="180" t="str">
        <f t="shared" si="28"/>
        <v/>
      </c>
      <c r="AL131" s="72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</row>
    <row r="132" ht="18.0" customHeight="1">
      <c r="A132" s="6"/>
      <c r="B132" s="206">
        <v>44449.0</v>
      </c>
      <c r="C132" s="176" t="s">
        <v>75</v>
      </c>
      <c r="D132" s="176" t="s">
        <v>85</v>
      </c>
      <c r="E132" s="176" t="s">
        <v>82</v>
      </c>
      <c r="F132" s="178" t="s">
        <v>27</v>
      </c>
      <c r="G132" s="206">
        <v>44456.0</v>
      </c>
      <c r="H132" s="179">
        <f>IFERROR(__xludf.DUMMYFUNCTION("GOOGLEFINANCE(D132,""price"")"),197.74)</f>
        <v>197.74</v>
      </c>
      <c r="I132" s="201">
        <v>103.0</v>
      </c>
      <c r="J132" s="200"/>
      <c r="K132" s="200"/>
      <c r="L132" s="181" t="str">
        <f t="shared" si="18"/>
        <v>Option Closed</v>
      </c>
      <c r="M132" s="212">
        <v>1.0</v>
      </c>
      <c r="N132" s="201">
        <v>0.75</v>
      </c>
      <c r="O132" s="183" t="s">
        <v>86</v>
      </c>
      <c r="P132" s="206"/>
      <c r="Q132" s="184"/>
      <c r="R132" s="185">
        <f t="shared" si="19"/>
        <v>0.075</v>
      </c>
      <c r="S132" s="186">
        <f t="shared" si="26"/>
        <v>75</v>
      </c>
      <c r="T132" s="187">
        <f t="shared" si="27"/>
        <v>0</v>
      </c>
      <c r="U132" s="188">
        <f t="shared" si="22"/>
        <v>75</v>
      </c>
      <c r="V132" s="189">
        <f t="shared" si="23"/>
        <v>0.007281553398</v>
      </c>
      <c r="W132" s="190" t="str">
        <f>IFERROR(__xludf.DUMMYFUNCTION("if(D132="""","""",SPLIT(INDEX(IMPORTHTML(concatenate(""https://finance.yahoo.com/quote/"",D132),""table"",2),6,2),"" ""))"),"#REF!")</f>
        <v>#REF!</v>
      </c>
      <c r="X132" s="191"/>
      <c r="Y132" s="189" t="str">
        <f t="shared" si="24"/>
        <v/>
      </c>
      <c r="Z132" s="191" t="str">
        <f t="shared" si="8"/>
        <v/>
      </c>
      <c r="AA132" s="191">
        <f t="shared" si="9"/>
        <v>7</v>
      </c>
      <c r="AB132" s="70"/>
      <c r="AC132" s="175"/>
      <c r="AD132" s="177"/>
      <c r="AE132" s="175"/>
      <c r="AF132" s="180"/>
      <c r="AG132" s="180"/>
      <c r="AH132" s="180"/>
      <c r="AI132" s="180"/>
      <c r="AJ132" s="180"/>
      <c r="AK132" s="180" t="str">
        <f t="shared" si="28"/>
        <v/>
      </c>
      <c r="AL132" s="72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</row>
    <row r="133" ht="18.0" customHeight="1">
      <c r="A133" s="6"/>
      <c r="B133" s="206">
        <v>44449.0</v>
      </c>
      <c r="C133" s="176" t="s">
        <v>75</v>
      </c>
      <c r="D133" s="176" t="s">
        <v>84</v>
      </c>
      <c r="E133" s="176" t="s">
        <v>82</v>
      </c>
      <c r="F133" s="178" t="s">
        <v>27</v>
      </c>
      <c r="G133" s="206">
        <v>44456.0</v>
      </c>
      <c r="H133" s="179">
        <f>IFERROR(__xludf.DUMMYFUNCTION("GOOGLEFINANCE(D133,""price"")"),25.54)</f>
        <v>25.54</v>
      </c>
      <c r="I133" s="201">
        <v>61.0</v>
      </c>
      <c r="J133" s="200"/>
      <c r="K133" s="200"/>
      <c r="L133" s="181" t="str">
        <f t="shared" si="18"/>
        <v>Option Closed</v>
      </c>
      <c r="M133" s="212">
        <v>1.0</v>
      </c>
      <c r="N133" s="201">
        <v>0.6</v>
      </c>
      <c r="O133" s="183" t="s">
        <v>83</v>
      </c>
      <c r="P133" s="206"/>
      <c r="Q133" s="184"/>
      <c r="R133" s="185">
        <f t="shared" si="19"/>
        <v>0.06</v>
      </c>
      <c r="S133" s="186">
        <f t="shared" si="26"/>
        <v>60</v>
      </c>
      <c r="T133" s="187">
        <f t="shared" si="27"/>
        <v>0</v>
      </c>
      <c r="U133" s="188">
        <f t="shared" si="22"/>
        <v>60</v>
      </c>
      <c r="V133" s="189">
        <f t="shared" si="23"/>
        <v>0.009836065574</v>
      </c>
      <c r="W133" s="190" t="str">
        <f>IFERROR(__xludf.DUMMYFUNCTION("if(D133="""","""",SPLIT(INDEX(IMPORTHTML(concatenate(""https://finance.yahoo.com/quote/"",D133),""table"",2),6,2),"" ""))"),"#REF!")</f>
        <v>#REF!</v>
      </c>
      <c r="X133" s="191"/>
      <c r="Y133" s="189" t="str">
        <f t="shared" si="24"/>
        <v/>
      </c>
      <c r="Z133" s="191" t="str">
        <f t="shared" si="8"/>
        <v/>
      </c>
      <c r="AA133" s="191">
        <f t="shared" si="9"/>
        <v>7</v>
      </c>
      <c r="AB133" s="70"/>
      <c r="AC133" s="175"/>
      <c r="AD133" s="177"/>
      <c r="AE133" s="175"/>
      <c r="AF133" s="180"/>
      <c r="AG133" s="180"/>
      <c r="AH133" s="180"/>
      <c r="AI133" s="180"/>
      <c r="AJ133" s="180"/>
      <c r="AK133" s="180" t="str">
        <f t="shared" si="28"/>
        <v/>
      </c>
      <c r="AL133" s="72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</row>
    <row r="134" ht="18.0" customHeight="1">
      <c r="A134" s="6"/>
      <c r="B134" s="206">
        <v>44449.0</v>
      </c>
      <c r="C134" s="176" t="s">
        <v>75</v>
      </c>
      <c r="D134" s="176" t="s">
        <v>89</v>
      </c>
      <c r="E134" s="176" t="s">
        <v>82</v>
      </c>
      <c r="F134" s="178" t="s">
        <v>27</v>
      </c>
      <c r="G134" s="206">
        <v>44456.0</v>
      </c>
      <c r="H134" s="179">
        <f>IFERROR(__xludf.DUMMYFUNCTION("GOOGLEFINANCE(D134,""price"")"),255.76)</f>
        <v>255.76</v>
      </c>
      <c r="I134" s="201">
        <v>143.0</v>
      </c>
      <c r="J134" s="200"/>
      <c r="K134" s="200"/>
      <c r="L134" s="181" t="str">
        <f t="shared" si="18"/>
        <v>Option Closed</v>
      </c>
      <c r="M134" s="212">
        <v>1.0</v>
      </c>
      <c r="N134" s="201">
        <v>0.88</v>
      </c>
      <c r="O134" s="183" t="s">
        <v>86</v>
      </c>
      <c r="P134" s="206"/>
      <c r="Q134" s="184"/>
      <c r="R134" s="185">
        <f t="shared" si="19"/>
        <v>0.088</v>
      </c>
      <c r="S134" s="186">
        <f t="shared" si="26"/>
        <v>88</v>
      </c>
      <c r="T134" s="187">
        <f t="shared" si="27"/>
        <v>0</v>
      </c>
      <c r="U134" s="188">
        <f t="shared" si="22"/>
        <v>88</v>
      </c>
      <c r="V134" s="189">
        <f t="shared" si="23"/>
        <v>0.006153846154</v>
      </c>
      <c r="W134" s="190" t="str">
        <f>IFERROR(__xludf.DUMMYFUNCTION("if(D134="""","""",SPLIT(INDEX(IMPORTHTML(concatenate(""https://finance.yahoo.com/quote/"",D134),""table"",2),6,2),"" ""))"),"#REF!")</f>
        <v>#REF!</v>
      </c>
      <c r="X134" s="191"/>
      <c r="Y134" s="189" t="str">
        <f t="shared" si="24"/>
        <v/>
      </c>
      <c r="Z134" s="191" t="str">
        <f t="shared" si="8"/>
        <v/>
      </c>
      <c r="AA134" s="191">
        <f t="shared" si="9"/>
        <v>7</v>
      </c>
      <c r="AB134" s="70"/>
      <c r="AC134" s="175"/>
      <c r="AD134" s="177"/>
      <c r="AE134" s="175"/>
      <c r="AF134" s="180"/>
      <c r="AG134" s="180"/>
      <c r="AH134" s="180"/>
      <c r="AI134" s="180"/>
      <c r="AJ134" s="180"/>
      <c r="AK134" s="180" t="str">
        <f t="shared" si="28"/>
        <v/>
      </c>
      <c r="AL134" s="72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</row>
    <row r="135" ht="18.0" customHeight="1">
      <c r="A135" s="6"/>
      <c r="B135" s="206">
        <v>44452.0</v>
      </c>
      <c r="C135" s="176" t="s">
        <v>75</v>
      </c>
      <c r="D135" s="176" t="s">
        <v>77</v>
      </c>
      <c r="E135" s="176" t="s">
        <v>26</v>
      </c>
      <c r="F135" s="178" t="s">
        <v>27</v>
      </c>
      <c r="G135" s="206">
        <v>44456.0</v>
      </c>
      <c r="H135" s="179">
        <f>IFERROR(__xludf.DUMMYFUNCTION("GOOGLEFINANCE(D135,""price"")"),8.76)</f>
        <v>8.76</v>
      </c>
      <c r="I135" s="201">
        <v>40.0</v>
      </c>
      <c r="J135" s="200"/>
      <c r="K135" s="200"/>
      <c r="L135" s="181" t="str">
        <f t="shared" si="18"/>
        <v>Option Closed</v>
      </c>
      <c r="M135" s="212">
        <v>3.0</v>
      </c>
      <c r="N135" s="201">
        <v>0.51</v>
      </c>
      <c r="O135" s="183" t="s">
        <v>45</v>
      </c>
      <c r="P135" s="206">
        <v>44455.0</v>
      </c>
      <c r="Q135" s="184">
        <v>0.05</v>
      </c>
      <c r="R135" s="185">
        <f t="shared" si="19"/>
        <v>0.051</v>
      </c>
      <c r="S135" s="186">
        <f t="shared" si="26"/>
        <v>153</v>
      </c>
      <c r="T135" s="187">
        <f t="shared" si="27"/>
        <v>-15</v>
      </c>
      <c r="U135" s="188">
        <f t="shared" si="22"/>
        <v>138</v>
      </c>
      <c r="V135" s="189">
        <f t="shared" si="23"/>
        <v>0.01275</v>
      </c>
      <c r="W135" s="190" t="str">
        <f>IFERROR(__xludf.DUMMYFUNCTION("if(D135="""","""",SPLIT(INDEX(IMPORTHTML(concatenate(""https://finance.yahoo.com/quote/"",D135),""table"",2),6,2),"" ""))"),"#REF!")</f>
        <v>#REF!</v>
      </c>
      <c r="X135" s="191"/>
      <c r="Y135" s="189" t="str">
        <f t="shared" si="24"/>
        <v/>
      </c>
      <c r="Z135" s="191" t="str">
        <f t="shared" si="8"/>
        <v/>
      </c>
      <c r="AA135" s="191">
        <f t="shared" si="9"/>
        <v>3</v>
      </c>
      <c r="AB135" s="70"/>
      <c r="AC135" s="175"/>
      <c r="AD135" s="177"/>
      <c r="AE135" s="175"/>
      <c r="AF135" s="180"/>
      <c r="AG135" s="180"/>
      <c r="AH135" s="180"/>
      <c r="AI135" s="180"/>
      <c r="AJ135" s="180"/>
      <c r="AK135" s="180" t="str">
        <f t="shared" si="28"/>
        <v/>
      </c>
      <c r="AL135" s="72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</row>
    <row r="136" ht="18.0" customHeight="1">
      <c r="A136" s="6"/>
      <c r="B136" s="206">
        <v>44455.0</v>
      </c>
      <c r="C136" s="176" t="s">
        <v>91</v>
      </c>
      <c r="D136" s="176" t="s">
        <v>78</v>
      </c>
      <c r="E136" s="176" t="s">
        <v>26</v>
      </c>
      <c r="F136" s="178" t="s">
        <v>27</v>
      </c>
      <c r="G136" s="206">
        <v>44484.0</v>
      </c>
      <c r="H136" s="179">
        <f>IFERROR(__xludf.DUMMYFUNCTION("GOOGLEFINANCE(D136,""price"")"),720.66)</f>
        <v>720.66</v>
      </c>
      <c r="I136" s="201">
        <v>440.0</v>
      </c>
      <c r="J136" s="181"/>
      <c r="K136" s="181"/>
      <c r="L136" s="181" t="str">
        <f t="shared" si="18"/>
        <v>Option Closed</v>
      </c>
      <c r="M136" s="212">
        <v>6.0</v>
      </c>
      <c r="N136" s="201">
        <v>0.9</v>
      </c>
      <c r="O136" s="183" t="s">
        <v>45</v>
      </c>
      <c r="P136" s="206">
        <v>44476.0</v>
      </c>
      <c r="Q136" s="184">
        <v>0.09</v>
      </c>
      <c r="R136" s="185">
        <f t="shared" si="19"/>
        <v>0.09</v>
      </c>
      <c r="S136" s="186">
        <f t="shared" si="26"/>
        <v>540</v>
      </c>
      <c r="T136" s="187">
        <f t="shared" si="27"/>
        <v>-54</v>
      </c>
      <c r="U136" s="188">
        <f t="shared" si="22"/>
        <v>486</v>
      </c>
      <c r="V136" s="189">
        <f t="shared" si="23"/>
        <v>0.002045454545</v>
      </c>
      <c r="W136" s="190" t="str">
        <f>IFERROR(__xludf.DUMMYFUNCTION("if(D136="""","""",SPLIT(INDEX(IMPORTHTML(concatenate(""https://finance.yahoo.com/quote/"",D136),""table"",2),6,2),"" ""))"),"#REF!")</f>
        <v>#REF!</v>
      </c>
      <c r="X136" s="191"/>
      <c r="Y136" s="189" t="str">
        <f t="shared" si="24"/>
        <v/>
      </c>
      <c r="Z136" s="191" t="str">
        <f t="shared" si="8"/>
        <v/>
      </c>
      <c r="AA136" s="191">
        <f t="shared" si="9"/>
        <v>21</v>
      </c>
      <c r="AB136" s="70"/>
      <c r="AC136" s="175"/>
      <c r="AD136" s="177"/>
      <c r="AE136" s="175"/>
      <c r="AF136" s="180"/>
      <c r="AG136" s="180"/>
      <c r="AH136" s="180"/>
      <c r="AI136" s="180"/>
      <c r="AJ136" s="180"/>
      <c r="AK136" s="180" t="str">
        <f t="shared" si="28"/>
        <v/>
      </c>
      <c r="AL136" s="72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</row>
    <row r="137" ht="18.0" customHeight="1">
      <c r="A137" s="6"/>
      <c r="B137" s="206">
        <v>44455.0</v>
      </c>
      <c r="C137" s="176" t="s">
        <v>75</v>
      </c>
      <c r="D137" s="176" t="s">
        <v>76</v>
      </c>
      <c r="E137" s="176" t="s">
        <v>26</v>
      </c>
      <c r="F137" s="178" t="s">
        <v>27</v>
      </c>
      <c r="G137" s="206">
        <v>44463.0</v>
      </c>
      <c r="H137" s="179">
        <f>IFERROR(__xludf.DUMMYFUNCTION("GOOGLEFINANCE(D137,""price"")"),7.53)</f>
        <v>7.53</v>
      </c>
      <c r="I137" s="201">
        <v>122.0</v>
      </c>
      <c r="J137" s="181"/>
      <c r="K137" s="181"/>
      <c r="L137" s="181" t="str">
        <f t="shared" si="18"/>
        <v>Option Closed</v>
      </c>
      <c r="M137" s="212">
        <v>2.0</v>
      </c>
      <c r="N137" s="201">
        <v>0.65</v>
      </c>
      <c r="O137" s="183" t="s">
        <v>45</v>
      </c>
      <c r="P137" s="206">
        <v>44463.0</v>
      </c>
      <c r="Q137" s="184">
        <v>0.03</v>
      </c>
      <c r="R137" s="185">
        <f t="shared" si="19"/>
        <v>0.065</v>
      </c>
      <c r="S137" s="186">
        <f t="shared" si="26"/>
        <v>130</v>
      </c>
      <c r="T137" s="187">
        <f t="shared" si="27"/>
        <v>-6</v>
      </c>
      <c r="U137" s="188">
        <f t="shared" si="22"/>
        <v>124</v>
      </c>
      <c r="V137" s="189">
        <f t="shared" si="23"/>
        <v>0.005327868852</v>
      </c>
      <c r="W137" s="190" t="str">
        <f>IFERROR(__xludf.DUMMYFUNCTION("if(D137="""","""",SPLIT(INDEX(IMPORTHTML(concatenate(""https://finance.yahoo.com/quote/"",D137),""table"",2),6,2),"" ""))"),"#REF!")</f>
        <v>#REF!</v>
      </c>
      <c r="X137" s="191"/>
      <c r="Y137" s="189" t="str">
        <f t="shared" si="24"/>
        <v/>
      </c>
      <c r="Z137" s="191" t="str">
        <f t="shared" si="8"/>
        <v/>
      </c>
      <c r="AA137" s="191">
        <f t="shared" si="9"/>
        <v>8</v>
      </c>
      <c r="AB137" s="70"/>
      <c r="AC137" s="175"/>
      <c r="AD137" s="177"/>
      <c r="AE137" s="175"/>
      <c r="AF137" s="180"/>
      <c r="AG137" s="180"/>
      <c r="AH137" s="180"/>
      <c r="AI137" s="180"/>
      <c r="AJ137" s="180"/>
      <c r="AK137" s="180" t="str">
        <f t="shared" si="28"/>
        <v/>
      </c>
      <c r="AL137" s="72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</row>
    <row r="138" ht="18.0" customHeight="1">
      <c r="A138" s="6"/>
      <c r="B138" s="206">
        <v>44455.0</v>
      </c>
      <c r="C138" s="176" t="s">
        <v>75</v>
      </c>
      <c r="D138" s="176" t="s">
        <v>85</v>
      </c>
      <c r="E138" s="176" t="s">
        <v>82</v>
      </c>
      <c r="F138" s="178" t="s">
        <v>27</v>
      </c>
      <c r="G138" s="206">
        <v>44463.0</v>
      </c>
      <c r="H138" s="179">
        <f>IFERROR(__xludf.DUMMYFUNCTION("GOOGLEFINANCE(D138,""price"")"),197.74)</f>
        <v>197.74</v>
      </c>
      <c r="I138" s="201">
        <v>102.0</v>
      </c>
      <c r="J138" s="181"/>
      <c r="K138" s="181"/>
      <c r="L138" s="181" t="str">
        <f t="shared" si="18"/>
        <v>Option Closed</v>
      </c>
      <c r="M138" s="212">
        <v>1.0</v>
      </c>
      <c r="N138" s="201">
        <v>1.0</v>
      </c>
      <c r="O138" s="183" t="s">
        <v>86</v>
      </c>
      <c r="P138" s="206"/>
      <c r="Q138" s="184"/>
      <c r="R138" s="185">
        <f t="shared" si="19"/>
        <v>0.1</v>
      </c>
      <c r="S138" s="186">
        <f t="shared" si="26"/>
        <v>100</v>
      </c>
      <c r="T138" s="187">
        <f t="shared" si="27"/>
        <v>0</v>
      </c>
      <c r="U138" s="188">
        <f t="shared" si="22"/>
        <v>100</v>
      </c>
      <c r="V138" s="189">
        <f t="shared" si="23"/>
        <v>0.009803921569</v>
      </c>
      <c r="W138" s="190" t="str">
        <f>IFERROR(__xludf.DUMMYFUNCTION("if(D138="""","""",SPLIT(INDEX(IMPORTHTML(concatenate(""https://finance.yahoo.com/quote/"",D138),""table"",2),6,2),"" ""))"),"#REF!")</f>
        <v>#REF!</v>
      </c>
      <c r="X138" s="191"/>
      <c r="Y138" s="189" t="str">
        <f t="shared" si="24"/>
        <v/>
      </c>
      <c r="Z138" s="191" t="str">
        <f t="shared" si="8"/>
        <v/>
      </c>
      <c r="AA138" s="191">
        <f t="shared" si="9"/>
        <v>8</v>
      </c>
      <c r="AB138" s="70"/>
      <c r="AC138" s="175"/>
      <c r="AD138" s="177"/>
      <c r="AE138" s="175"/>
      <c r="AF138" s="180"/>
      <c r="AG138" s="180"/>
      <c r="AH138" s="180"/>
      <c r="AI138" s="180"/>
      <c r="AJ138" s="180"/>
      <c r="AK138" s="180" t="str">
        <f t="shared" si="28"/>
        <v/>
      </c>
      <c r="AL138" s="72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</row>
    <row r="139" ht="18.0" customHeight="1">
      <c r="A139" s="6"/>
      <c r="B139" s="206">
        <v>44455.0</v>
      </c>
      <c r="C139" s="176" t="s">
        <v>75</v>
      </c>
      <c r="D139" s="176" t="s">
        <v>101</v>
      </c>
      <c r="E139" s="176" t="s">
        <v>82</v>
      </c>
      <c r="F139" s="178" t="s">
        <v>27</v>
      </c>
      <c r="G139" s="206">
        <v>44463.0</v>
      </c>
      <c r="H139" s="179">
        <f>IFERROR(__xludf.DUMMYFUNCTION("GOOGLEFINANCE(D139,""price"")"),183.16)</f>
        <v>183.16</v>
      </c>
      <c r="I139" s="201">
        <v>210.0</v>
      </c>
      <c r="J139" s="181"/>
      <c r="K139" s="181"/>
      <c r="L139" s="181" t="str">
        <f t="shared" si="18"/>
        <v>Option Closed</v>
      </c>
      <c r="M139" s="212">
        <v>1.0</v>
      </c>
      <c r="N139" s="201">
        <v>1.2</v>
      </c>
      <c r="O139" s="183" t="s">
        <v>86</v>
      </c>
      <c r="P139" s="206"/>
      <c r="Q139" s="184"/>
      <c r="R139" s="185">
        <f t="shared" si="19"/>
        <v>0.12</v>
      </c>
      <c r="S139" s="186">
        <f t="shared" si="26"/>
        <v>120</v>
      </c>
      <c r="T139" s="187">
        <f t="shared" si="27"/>
        <v>0</v>
      </c>
      <c r="U139" s="188">
        <f t="shared" si="22"/>
        <v>120</v>
      </c>
      <c r="V139" s="189">
        <f t="shared" si="23"/>
        <v>0.005714285714</v>
      </c>
      <c r="W139" s="190" t="str">
        <f>IFERROR(__xludf.DUMMYFUNCTION("if(D139="""","""",SPLIT(INDEX(IMPORTHTML(concatenate(""https://finance.yahoo.com/quote/"",D139),""table"",2),6,2),"" ""))"),"#REF!")</f>
        <v>#REF!</v>
      </c>
      <c r="X139" s="191"/>
      <c r="Y139" s="189" t="str">
        <f t="shared" si="24"/>
        <v/>
      </c>
      <c r="Z139" s="191" t="str">
        <f t="shared" si="8"/>
        <v/>
      </c>
      <c r="AA139" s="191">
        <f t="shared" si="9"/>
        <v>8</v>
      </c>
      <c r="AB139" s="70"/>
      <c r="AC139" s="175"/>
      <c r="AD139" s="177"/>
      <c r="AE139" s="175"/>
      <c r="AF139" s="180"/>
      <c r="AG139" s="180"/>
      <c r="AH139" s="180"/>
      <c r="AI139" s="180"/>
      <c r="AJ139" s="180"/>
      <c r="AK139" s="180" t="str">
        <f t="shared" si="28"/>
        <v/>
      </c>
      <c r="AL139" s="72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</row>
    <row r="140" ht="18.0" customHeight="1">
      <c r="A140" s="6"/>
      <c r="B140" s="206">
        <v>44455.0</v>
      </c>
      <c r="C140" s="176" t="s">
        <v>75</v>
      </c>
      <c r="D140" s="176" t="s">
        <v>85</v>
      </c>
      <c r="E140" s="176" t="s">
        <v>82</v>
      </c>
      <c r="F140" s="178" t="s">
        <v>27</v>
      </c>
      <c r="G140" s="206">
        <v>44463.0</v>
      </c>
      <c r="H140" s="179">
        <f>IFERROR(__xludf.DUMMYFUNCTION("GOOGLEFINANCE(D140,""price"")"),197.74)</f>
        <v>197.74</v>
      </c>
      <c r="I140" s="201">
        <v>103.0</v>
      </c>
      <c r="J140" s="181"/>
      <c r="K140" s="181"/>
      <c r="L140" s="181" t="str">
        <f t="shared" si="18"/>
        <v>Option Closed</v>
      </c>
      <c r="M140" s="212">
        <v>1.0</v>
      </c>
      <c r="N140" s="201">
        <v>1.0</v>
      </c>
      <c r="O140" s="183" t="s">
        <v>86</v>
      </c>
      <c r="P140" s="206"/>
      <c r="Q140" s="184"/>
      <c r="R140" s="185">
        <f t="shared" si="19"/>
        <v>0.1</v>
      </c>
      <c r="S140" s="186">
        <f t="shared" si="26"/>
        <v>100</v>
      </c>
      <c r="T140" s="187">
        <f t="shared" si="27"/>
        <v>0</v>
      </c>
      <c r="U140" s="188">
        <f t="shared" si="22"/>
        <v>100</v>
      </c>
      <c r="V140" s="189">
        <f t="shared" si="23"/>
        <v>0.009708737864</v>
      </c>
      <c r="W140" s="190" t="str">
        <f>IFERROR(__xludf.DUMMYFUNCTION("if(D140="""","""",SPLIT(INDEX(IMPORTHTML(concatenate(""https://finance.yahoo.com/quote/"",D140),""table"",2),6,2),"" ""))"),"#REF!")</f>
        <v>#REF!</v>
      </c>
      <c r="X140" s="191"/>
      <c r="Y140" s="189" t="str">
        <f t="shared" si="24"/>
        <v/>
      </c>
      <c r="Z140" s="191" t="str">
        <f t="shared" si="8"/>
        <v/>
      </c>
      <c r="AA140" s="191">
        <f t="shared" si="9"/>
        <v>8</v>
      </c>
      <c r="AB140" s="70"/>
      <c r="AC140" s="175"/>
      <c r="AD140" s="177"/>
      <c r="AE140" s="175"/>
      <c r="AF140" s="180"/>
      <c r="AG140" s="180"/>
      <c r="AH140" s="180"/>
      <c r="AI140" s="180"/>
      <c r="AJ140" s="180"/>
      <c r="AK140" s="180" t="str">
        <f t="shared" si="28"/>
        <v/>
      </c>
      <c r="AL140" s="72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</row>
    <row r="141" ht="18.0" customHeight="1">
      <c r="A141" s="6"/>
      <c r="B141" s="206">
        <v>44460.0</v>
      </c>
      <c r="C141" s="176" t="s">
        <v>91</v>
      </c>
      <c r="D141" s="176" t="s">
        <v>92</v>
      </c>
      <c r="E141" s="176" t="s">
        <v>26</v>
      </c>
      <c r="F141" s="176" t="s">
        <v>27</v>
      </c>
      <c r="G141" s="206">
        <v>44519.0</v>
      </c>
      <c r="H141" s="179">
        <f>IFERROR(__xludf.DUMMYFUNCTION("GOOGLEFINANCE(D141,""price"")"),0.0)</f>
        <v>0</v>
      </c>
      <c r="I141" s="201">
        <v>12.0</v>
      </c>
      <c r="J141" s="181"/>
      <c r="K141" s="181"/>
      <c r="L141" s="181" t="str">
        <f t="shared" si="18"/>
        <v>Option Closed</v>
      </c>
      <c r="M141" s="212">
        <v>9.0</v>
      </c>
      <c r="N141" s="201">
        <v>0.11</v>
      </c>
      <c r="O141" s="183" t="s">
        <v>86</v>
      </c>
      <c r="P141" s="206"/>
      <c r="Q141" s="184"/>
      <c r="R141" s="185">
        <f t="shared" si="19"/>
        <v>0.011</v>
      </c>
      <c r="S141" s="186">
        <f t="shared" si="26"/>
        <v>99</v>
      </c>
      <c r="T141" s="187">
        <f t="shared" si="27"/>
        <v>0</v>
      </c>
      <c r="U141" s="188">
        <f t="shared" si="22"/>
        <v>99</v>
      </c>
      <c r="V141" s="189">
        <f t="shared" si="23"/>
        <v>0.009166666667</v>
      </c>
      <c r="W141" s="190" t="str">
        <f>IFERROR(__xludf.DUMMYFUNCTION("if(D141="""","""",SPLIT(INDEX(IMPORTHTML(concatenate(""https://finance.yahoo.com/quote/"",D141),""table"",2),6,2),"" ""))"),"#REF!")</f>
        <v>#REF!</v>
      </c>
      <c r="X141" s="191"/>
      <c r="Y141" s="189" t="str">
        <f t="shared" si="24"/>
        <v/>
      </c>
      <c r="Z141" s="191" t="str">
        <f t="shared" si="8"/>
        <v/>
      </c>
      <c r="AA141" s="191">
        <f t="shared" si="9"/>
        <v>59</v>
      </c>
      <c r="AB141" s="70"/>
      <c r="AC141" s="175"/>
      <c r="AD141" s="177"/>
      <c r="AE141" s="175"/>
      <c r="AF141" s="180"/>
      <c r="AG141" s="180"/>
      <c r="AH141" s="180"/>
      <c r="AI141" s="180"/>
      <c r="AJ141" s="180"/>
      <c r="AK141" s="180" t="str">
        <f t="shared" si="28"/>
        <v/>
      </c>
      <c r="AL141" s="72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</row>
    <row r="142" ht="18.0" customHeight="1">
      <c r="A142" s="6"/>
      <c r="B142" s="206">
        <v>44461.0</v>
      </c>
      <c r="C142" s="176" t="s">
        <v>75</v>
      </c>
      <c r="D142" s="176" t="s">
        <v>77</v>
      </c>
      <c r="E142" s="176" t="s">
        <v>26</v>
      </c>
      <c r="F142" s="176" t="s">
        <v>27</v>
      </c>
      <c r="G142" s="206">
        <v>44470.0</v>
      </c>
      <c r="H142" s="179">
        <f>IFERROR(__xludf.DUMMYFUNCTION("GOOGLEFINANCE(D142,""price"")"),8.76)</f>
        <v>8.76</v>
      </c>
      <c r="I142" s="201">
        <v>40.0</v>
      </c>
      <c r="J142" s="181"/>
      <c r="K142" s="181"/>
      <c r="L142" s="181" t="str">
        <f t="shared" si="18"/>
        <v>Option Closed</v>
      </c>
      <c r="M142" s="212">
        <v>3.0</v>
      </c>
      <c r="N142" s="201">
        <v>0.5</v>
      </c>
      <c r="O142" s="183" t="s">
        <v>86</v>
      </c>
      <c r="P142" s="206"/>
      <c r="Q142" s="184"/>
      <c r="R142" s="185">
        <f t="shared" si="19"/>
        <v>0.05</v>
      </c>
      <c r="S142" s="186">
        <f t="shared" ref="S142:S144" si="29">IF(B142="","",IF(AND(E142="Stock",F142="Buy"),(100*((M142*N142)*-1)),IF(AND(E142="Call",F142="Buy"),(100*((M142*N142)*-1)),IF(AND(E142="PUT",F142="Buy"),(100*((M142*N142)*-1)),100*(M142*N142)))))</f>
        <v>150</v>
      </c>
      <c r="T142" s="187">
        <f t="shared" ref="T142:T144" si="30">IF(B142="","",IF(AND(E142="Stock",F142="Buy"),(100*((M142*Q142)*1)),IF(AND(E142="Call",F142="Buy"),(100*((M142*Q142)*1)),IF(AND(E142="PUT",F142="Buy"),(100*((M142*Q142)*1)),(100*(M142*Q142))*-1))))</f>
        <v>0</v>
      </c>
      <c r="U142" s="188">
        <f t="shared" si="22"/>
        <v>150</v>
      </c>
      <c r="V142" s="189">
        <f t="shared" si="23"/>
        <v>0.0125</v>
      </c>
      <c r="W142" s="190" t="str">
        <f>IFERROR(__xludf.DUMMYFUNCTION("if(D142="""","""",SPLIT(INDEX(IMPORTHTML(concatenate(""https://finance.yahoo.com/quote/"",D142),""table"",2),6,2),"" ""))"),"#REF!")</f>
        <v>#REF!</v>
      </c>
      <c r="X142" s="191"/>
      <c r="Y142" s="189" t="str">
        <f t="shared" si="24"/>
        <v/>
      </c>
      <c r="Z142" s="191" t="str">
        <f t="shared" si="8"/>
        <v/>
      </c>
      <c r="AA142" s="191">
        <f t="shared" si="9"/>
        <v>9</v>
      </c>
      <c r="AB142" s="70"/>
      <c r="AC142" s="175"/>
      <c r="AD142" s="177"/>
      <c r="AE142" s="175"/>
      <c r="AF142" s="180"/>
      <c r="AG142" s="180"/>
      <c r="AH142" s="180"/>
      <c r="AI142" s="180"/>
      <c r="AJ142" s="180"/>
      <c r="AK142" s="180" t="str">
        <f t="shared" ref="AK142:AK144" si="31">IF(AE142="","",(AE142*AF142)*-1)</f>
        <v/>
      </c>
      <c r="AL142" s="72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</row>
    <row r="143" ht="18.0" customHeight="1">
      <c r="A143" s="6"/>
      <c r="B143" s="206">
        <v>44463.0</v>
      </c>
      <c r="C143" s="176" t="s">
        <v>75</v>
      </c>
      <c r="D143" s="176" t="s">
        <v>85</v>
      </c>
      <c r="E143" s="176" t="s">
        <v>82</v>
      </c>
      <c r="F143" s="176" t="s">
        <v>27</v>
      </c>
      <c r="G143" s="206">
        <v>44470.0</v>
      </c>
      <c r="H143" s="179">
        <f>IFERROR(__xludf.DUMMYFUNCTION("GOOGLEFINANCE(D143,""price"")"),197.74)</f>
        <v>197.74</v>
      </c>
      <c r="I143" s="201">
        <v>103.0</v>
      </c>
      <c r="J143" s="181"/>
      <c r="K143" s="181"/>
      <c r="L143" s="181" t="str">
        <f t="shared" si="18"/>
        <v>Option Closed</v>
      </c>
      <c r="M143" s="212">
        <v>1.0</v>
      </c>
      <c r="N143" s="201">
        <v>0.75</v>
      </c>
      <c r="O143" s="183" t="s">
        <v>98</v>
      </c>
      <c r="P143" s="206">
        <v>44470.0</v>
      </c>
      <c r="Q143" s="184">
        <v>0.4</v>
      </c>
      <c r="R143" s="185">
        <f t="shared" si="19"/>
        <v>0.075</v>
      </c>
      <c r="S143" s="186">
        <f t="shared" si="29"/>
        <v>75</v>
      </c>
      <c r="T143" s="187">
        <f t="shared" si="30"/>
        <v>-40</v>
      </c>
      <c r="U143" s="188">
        <f t="shared" si="22"/>
        <v>35</v>
      </c>
      <c r="V143" s="189">
        <f t="shared" si="23"/>
        <v>0.007281553398</v>
      </c>
      <c r="W143" s="190" t="str">
        <f>IFERROR(__xludf.DUMMYFUNCTION("if(D143="""","""",SPLIT(INDEX(IMPORTHTML(concatenate(""https://finance.yahoo.com/quote/"",D143),""table"",2),6,2),"" ""))"),"#REF!")</f>
        <v>#REF!</v>
      </c>
      <c r="X143" s="191"/>
      <c r="Y143" s="189" t="str">
        <f t="shared" si="24"/>
        <v/>
      </c>
      <c r="Z143" s="191" t="str">
        <f t="shared" si="8"/>
        <v/>
      </c>
      <c r="AA143" s="191">
        <f t="shared" si="9"/>
        <v>7</v>
      </c>
      <c r="AB143" s="70"/>
      <c r="AC143" s="175"/>
      <c r="AD143" s="177"/>
      <c r="AE143" s="175"/>
      <c r="AF143" s="180"/>
      <c r="AG143" s="180"/>
      <c r="AH143" s="180"/>
      <c r="AI143" s="180"/>
      <c r="AJ143" s="180"/>
      <c r="AK143" s="180" t="str">
        <f t="shared" si="31"/>
        <v/>
      </c>
      <c r="AL143" s="72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</row>
    <row r="144" ht="18.0" customHeight="1">
      <c r="A144" s="6"/>
      <c r="B144" s="206">
        <v>44466.0</v>
      </c>
      <c r="C144" s="176" t="s">
        <v>75</v>
      </c>
      <c r="D144" s="176" t="s">
        <v>101</v>
      </c>
      <c r="E144" s="176" t="s">
        <v>82</v>
      </c>
      <c r="F144" s="176" t="s">
        <v>27</v>
      </c>
      <c r="G144" s="206">
        <v>44470.0</v>
      </c>
      <c r="H144" s="179">
        <f>IFERROR(__xludf.DUMMYFUNCTION("GOOGLEFINANCE(D144,""price"")"),183.16)</f>
        <v>183.16</v>
      </c>
      <c r="I144" s="201">
        <v>207.5</v>
      </c>
      <c r="J144" s="181"/>
      <c r="K144" s="181"/>
      <c r="L144" s="181" t="str">
        <f t="shared" si="18"/>
        <v>Option Closed</v>
      </c>
      <c r="M144" s="212">
        <v>1.0</v>
      </c>
      <c r="N144" s="201">
        <v>1.5</v>
      </c>
      <c r="O144" s="183" t="s">
        <v>98</v>
      </c>
      <c r="P144" s="206">
        <v>44470.0</v>
      </c>
      <c r="Q144" s="184">
        <v>0.3</v>
      </c>
      <c r="R144" s="185">
        <f t="shared" si="19"/>
        <v>0.15</v>
      </c>
      <c r="S144" s="186">
        <f t="shared" si="29"/>
        <v>150</v>
      </c>
      <c r="T144" s="187">
        <f t="shared" si="30"/>
        <v>-30</v>
      </c>
      <c r="U144" s="188">
        <f t="shared" si="22"/>
        <v>120</v>
      </c>
      <c r="V144" s="189">
        <f t="shared" si="23"/>
        <v>0.007228915663</v>
      </c>
      <c r="W144" s="190" t="str">
        <f>IFERROR(__xludf.DUMMYFUNCTION("if(D144="""","""",SPLIT(INDEX(IMPORTHTML(concatenate(""https://finance.yahoo.com/quote/"",D144),""table"",2),6,2),"" ""))"),"#REF!")</f>
        <v>#REF!</v>
      </c>
      <c r="X144" s="191"/>
      <c r="Y144" s="189" t="str">
        <f t="shared" si="24"/>
        <v/>
      </c>
      <c r="Z144" s="191" t="str">
        <f t="shared" si="8"/>
        <v/>
      </c>
      <c r="AA144" s="191">
        <f t="shared" si="9"/>
        <v>4</v>
      </c>
      <c r="AB144" s="70"/>
      <c r="AC144" s="175"/>
      <c r="AD144" s="177"/>
      <c r="AE144" s="175"/>
      <c r="AF144" s="180"/>
      <c r="AG144" s="180"/>
      <c r="AH144" s="180"/>
      <c r="AI144" s="180"/>
      <c r="AJ144" s="180"/>
      <c r="AK144" s="180" t="str">
        <f t="shared" si="31"/>
        <v/>
      </c>
      <c r="AL144" s="72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</row>
    <row r="145" ht="18.0" customHeight="1">
      <c r="A145" s="6"/>
      <c r="B145" s="206">
        <v>44466.0</v>
      </c>
      <c r="C145" s="176" t="s">
        <v>91</v>
      </c>
      <c r="D145" s="176" t="s">
        <v>99</v>
      </c>
      <c r="E145" s="176" t="s">
        <v>26</v>
      </c>
      <c r="F145" s="178" t="s">
        <v>27</v>
      </c>
      <c r="G145" s="206">
        <v>44519.0</v>
      </c>
      <c r="H145" s="179">
        <f>IFERROR(__xludf.DUMMYFUNCTION("GOOGLEFINANCE(D145,""price"")"),365.93)</f>
        <v>365.93</v>
      </c>
      <c r="I145" s="201">
        <v>345.0</v>
      </c>
      <c r="J145" s="181"/>
      <c r="K145" s="181"/>
      <c r="L145" s="181" t="str">
        <f t="shared" si="18"/>
        <v>Option Closed</v>
      </c>
      <c r="M145" s="212">
        <v>3.0</v>
      </c>
      <c r="N145" s="201">
        <v>1.2</v>
      </c>
      <c r="O145" s="183" t="s">
        <v>45</v>
      </c>
      <c r="P145" s="206">
        <v>44518.0</v>
      </c>
      <c r="Q145" s="184">
        <v>6.0</v>
      </c>
      <c r="R145" s="185">
        <f t="shared" si="19"/>
        <v>0.12</v>
      </c>
      <c r="S145" s="186">
        <f>IF(B145="","",IF(AND(E145="Stock",F145="Buy"),(100*((M145*N145)*-1)),IF(AND(E145="Call",F145="Buy"),(100*((M145*N145)*-1)),IF(AND(E145="PUT",F145="Buy"),(100*((M145*N145)*-1)),100*(M145*N145)))))</f>
        <v>360</v>
      </c>
      <c r="T145" s="187">
        <f>IF(B145="","",IF(AND(E145="Stock",F145="Buy"),(100*((M145*Q145)*1)),IF(AND(E145="Call",F145="Buy"),(100*((M145*Q145)*1)),IF(AND(E145="PUT",F145="Buy"),(100*((M145*Q145)*1)),(100*(M145*Q145))*-1))))</f>
        <v>-1800</v>
      </c>
      <c r="U145" s="188">
        <f t="shared" si="22"/>
        <v>-1440</v>
      </c>
      <c r="V145" s="189">
        <f t="shared" si="23"/>
        <v>0.00347826087</v>
      </c>
      <c r="W145" s="190" t="str">
        <f>IFERROR(__xludf.DUMMYFUNCTION("if(D145="""","""",SPLIT(INDEX(IMPORTHTML(concatenate(""https://finance.yahoo.com/quote/"",D145),""table"",2),6,2),"" ""))"),"#REF!")</f>
        <v>#REF!</v>
      </c>
      <c r="X145" s="191"/>
      <c r="Y145" s="189" t="str">
        <f t="shared" si="24"/>
        <v/>
      </c>
      <c r="Z145" s="191" t="str">
        <f t="shared" si="8"/>
        <v/>
      </c>
      <c r="AA145" s="191">
        <f t="shared" si="9"/>
        <v>52</v>
      </c>
      <c r="AB145" s="70"/>
      <c r="AC145" s="175"/>
      <c r="AD145" s="177"/>
      <c r="AE145" s="175"/>
      <c r="AF145" s="180"/>
      <c r="AG145" s="180"/>
      <c r="AH145" s="180"/>
      <c r="AI145" s="180"/>
      <c r="AJ145" s="180"/>
      <c r="AK145" s="180" t="str">
        <f>IF(AE145="","",(AE145*AF145)*-1)</f>
        <v/>
      </c>
      <c r="AL145" s="72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</row>
    <row r="146" ht="18.0" customHeight="1">
      <c r="A146" s="6"/>
      <c r="B146" s="216">
        <v>44470.0</v>
      </c>
      <c r="C146" s="176" t="s">
        <v>75</v>
      </c>
      <c r="D146" s="176" t="s">
        <v>77</v>
      </c>
      <c r="E146" s="176" t="s">
        <v>26</v>
      </c>
      <c r="F146" s="176" t="s">
        <v>27</v>
      </c>
      <c r="G146" s="206">
        <v>44477.0</v>
      </c>
      <c r="H146" s="179">
        <f>IFERROR(__xludf.DUMMYFUNCTION("GOOGLEFINANCE(D146,""price"")"),8.76)</f>
        <v>8.76</v>
      </c>
      <c r="I146" s="201">
        <v>37.0</v>
      </c>
      <c r="J146" s="181"/>
      <c r="K146" s="181"/>
      <c r="L146" s="181" t="str">
        <f t="shared" si="18"/>
        <v>Option Closed</v>
      </c>
      <c r="M146" s="212">
        <v>3.0</v>
      </c>
      <c r="N146" s="201">
        <v>0.5</v>
      </c>
      <c r="O146" s="183" t="s">
        <v>98</v>
      </c>
      <c r="P146" s="206">
        <v>44477.0</v>
      </c>
      <c r="Q146" s="184">
        <v>2.0</v>
      </c>
      <c r="R146" s="185">
        <f t="shared" si="19"/>
        <v>0.05</v>
      </c>
      <c r="S146" s="186">
        <f t="shared" ref="S146:S181" si="32">IF(B146="","",IF(AND(E146="Stock",F146="Buy"),(100*((M146*N146)*-1)),IF(AND(E146="Call",F146="Buy"),(100*((M146*N146)*-1)),IF(AND(E146="PUT",F146="Buy"),(100*((M146*N146)*-1)),100*(M146*N146)))))</f>
        <v>150</v>
      </c>
      <c r="T146" s="187">
        <f t="shared" ref="T146:T181" si="33">IF(B146="","",IF(AND(E146="Stock",F146="Buy"),(100*((M146*Q146)*1)),IF(AND(E146="Call",F146="Buy"),(100*((M146*Q146)*1)),IF(AND(E146="PUT",F146="Buy"),(100*((M146*Q146)*1)),(100*(M146*Q146))*-1))))</f>
        <v>-600</v>
      </c>
      <c r="U146" s="188">
        <f t="shared" si="22"/>
        <v>-450</v>
      </c>
      <c r="V146" s="189">
        <f t="shared" si="23"/>
        <v>0.01351351351</v>
      </c>
      <c r="W146" s="190" t="str">
        <f>IFERROR(__xludf.DUMMYFUNCTION("if(D146="""","""",SPLIT(INDEX(IMPORTHTML(concatenate(""https://finance.yahoo.com/quote/"",D146),""table"",2),6,2),"" ""))"),"#REF!")</f>
        <v>#REF!</v>
      </c>
      <c r="X146" s="191"/>
      <c r="Y146" s="189" t="str">
        <f t="shared" si="24"/>
        <v/>
      </c>
      <c r="Z146" s="191" t="str">
        <f t="shared" si="8"/>
        <v/>
      </c>
      <c r="AA146" s="191">
        <f t="shared" si="9"/>
        <v>7</v>
      </c>
      <c r="AB146" s="70"/>
      <c r="AC146" s="175"/>
      <c r="AD146" s="177"/>
      <c r="AE146" s="175"/>
      <c r="AF146" s="180"/>
      <c r="AG146" s="180"/>
      <c r="AH146" s="180"/>
      <c r="AI146" s="180"/>
      <c r="AJ146" s="180"/>
      <c r="AK146" s="180" t="str">
        <f t="shared" ref="AK146:AK181" si="34">IF(AE146="","",(AE146*AF146)*-1)</f>
        <v/>
      </c>
      <c r="AL146" s="72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</row>
    <row r="147" ht="18.0" customHeight="1">
      <c r="A147" s="6"/>
      <c r="B147" s="206">
        <v>44470.0</v>
      </c>
      <c r="C147" s="176" t="s">
        <v>75</v>
      </c>
      <c r="D147" s="176" t="s">
        <v>85</v>
      </c>
      <c r="E147" s="176" t="s">
        <v>82</v>
      </c>
      <c r="F147" s="176" t="s">
        <v>27</v>
      </c>
      <c r="G147" s="206">
        <v>44477.0</v>
      </c>
      <c r="H147" s="179">
        <f>IFERROR(__xludf.DUMMYFUNCTION("GOOGLEFINANCE(D147,""price"")"),197.74)</f>
        <v>197.74</v>
      </c>
      <c r="I147" s="201">
        <v>99.0</v>
      </c>
      <c r="J147" s="181"/>
      <c r="K147" s="181"/>
      <c r="L147" s="181" t="str">
        <f t="shared" si="18"/>
        <v>Option Closed</v>
      </c>
      <c r="M147" s="212">
        <v>1.0</v>
      </c>
      <c r="N147" s="201">
        <v>0.9</v>
      </c>
      <c r="O147" s="183" t="s">
        <v>86</v>
      </c>
      <c r="P147" s="206"/>
      <c r="Q147" s="184"/>
      <c r="R147" s="185">
        <f t="shared" si="19"/>
        <v>0.09</v>
      </c>
      <c r="S147" s="186">
        <f t="shared" si="32"/>
        <v>90</v>
      </c>
      <c r="T147" s="187">
        <f t="shared" si="33"/>
        <v>0</v>
      </c>
      <c r="U147" s="188">
        <f t="shared" si="22"/>
        <v>90</v>
      </c>
      <c r="V147" s="189">
        <f t="shared" si="23"/>
        <v>0.009090909091</v>
      </c>
      <c r="W147" s="190" t="str">
        <f>IFERROR(__xludf.DUMMYFUNCTION("if(D147="""","""",SPLIT(INDEX(IMPORTHTML(concatenate(""https://finance.yahoo.com/quote/"",D147),""table"",2),6,2),"" ""))"),"#REF!")</f>
        <v>#REF!</v>
      </c>
      <c r="X147" s="191"/>
      <c r="Y147" s="189" t="str">
        <f t="shared" si="24"/>
        <v/>
      </c>
      <c r="Z147" s="191" t="str">
        <f t="shared" si="8"/>
        <v/>
      </c>
      <c r="AA147" s="191">
        <f t="shared" si="9"/>
        <v>7</v>
      </c>
      <c r="AB147" s="70"/>
      <c r="AC147" s="175"/>
      <c r="AD147" s="177"/>
      <c r="AE147" s="175"/>
      <c r="AF147" s="180"/>
      <c r="AG147" s="180"/>
      <c r="AH147" s="180"/>
      <c r="AI147" s="180"/>
      <c r="AJ147" s="180"/>
      <c r="AK147" s="180" t="str">
        <f t="shared" si="34"/>
        <v/>
      </c>
      <c r="AL147" s="72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</row>
    <row r="148" ht="18.0" customHeight="1">
      <c r="A148" s="6"/>
      <c r="B148" s="206">
        <v>44470.0</v>
      </c>
      <c r="C148" s="176" t="s">
        <v>75</v>
      </c>
      <c r="D148" s="176" t="s">
        <v>101</v>
      </c>
      <c r="E148" s="176" t="s">
        <v>82</v>
      </c>
      <c r="F148" s="176" t="s">
        <v>27</v>
      </c>
      <c r="G148" s="206">
        <v>44477.0</v>
      </c>
      <c r="H148" s="179">
        <f>IFERROR(__xludf.DUMMYFUNCTION("GOOGLEFINANCE(D148,""price"")"),183.16)</f>
        <v>183.16</v>
      </c>
      <c r="I148" s="201">
        <v>197.5</v>
      </c>
      <c r="J148" s="181"/>
      <c r="K148" s="181"/>
      <c r="L148" s="181" t="str">
        <f t="shared" si="18"/>
        <v>Option Closed</v>
      </c>
      <c r="M148" s="212">
        <v>1.0</v>
      </c>
      <c r="N148" s="201">
        <v>1.2</v>
      </c>
      <c r="O148" s="183" t="s">
        <v>86</v>
      </c>
      <c r="P148" s="206"/>
      <c r="Q148" s="184"/>
      <c r="R148" s="185">
        <f t="shared" si="19"/>
        <v>0.12</v>
      </c>
      <c r="S148" s="186">
        <f t="shared" si="32"/>
        <v>120</v>
      </c>
      <c r="T148" s="187">
        <f t="shared" si="33"/>
        <v>0</v>
      </c>
      <c r="U148" s="188">
        <f t="shared" si="22"/>
        <v>120</v>
      </c>
      <c r="V148" s="189">
        <f t="shared" si="23"/>
        <v>0.006075949367</v>
      </c>
      <c r="W148" s="190" t="str">
        <f>IFERROR(__xludf.DUMMYFUNCTION("if(D148="""","""",SPLIT(INDEX(IMPORTHTML(concatenate(""https://finance.yahoo.com/quote/"",D148),""table"",2),6,2),"" ""))"),"#REF!")</f>
        <v>#REF!</v>
      </c>
      <c r="X148" s="191"/>
      <c r="Y148" s="189" t="str">
        <f t="shared" si="24"/>
        <v/>
      </c>
      <c r="Z148" s="191" t="str">
        <f t="shared" si="8"/>
        <v/>
      </c>
      <c r="AA148" s="191">
        <f t="shared" si="9"/>
        <v>7</v>
      </c>
      <c r="AB148" s="70"/>
      <c r="AC148" s="175"/>
      <c r="AD148" s="177"/>
      <c r="AE148" s="175"/>
      <c r="AF148" s="180"/>
      <c r="AG148" s="180"/>
      <c r="AH148" s="180"/>
      <c r="AI148" s="180"/>
      <c r="AJ148" s="180"/>
      <c r="AK148" s="180" t="str">
        <f t="shared" si="34"/>
        <v/>
      </c>
      <c r="AL148" s="72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</row>
    <row r="149" ht="18.0" customHeight="1">
      <c r="A149" s="6"/>
      <c r="B149" s="206">
        <v>44477.0</v>
      </c>
      <c r="C149" s="176" t="s">
        <v>75</v>
      </c>
      <c r="D149" s="176" t="s">
        <v>101</v>
      </c>
      <c r="E149" s="176" t="s">
        <v>82</v>
      </c>
      <c r="F149" s="176" t="s">
        <v>27</v>
      </c>
      <c r="G149" s="216">
        <v>44484.0</v>
      </c>
      <c r="H149" s="179">
        <f>IFERROR(__xludf.DUMMYFUNCTION("GOOGLEFINANCE(D149,""price"")"),183.16)</f>
        <v>183.16</v>
      </c>
      <c r="I149" s="201">
        <v>202.5</v>
      </c>
      <c r="J149" s="181"/>
      <c r="K149" s="181"/>
      <c r="L149" s="181" t="str">
        <f t="shared" si="18"/>
        <v>Option Closed</v>
      </c>
      <c r="M149" s="212">
        <v>1.0</v>
      </c>
      <c r="N149" s="201">
        <v>1.8</v>
      </c>
      <c r="O149" s="183" t="s">
        <v>86</v>
      </c>
      <c r="P149" s="206"/>
      <c r="Q149" s="184"/>
      <c r="R149" s="185">
        <f t="shared" si="19"/>
        <v>0.18</v>
      </c>
      <c r="S149" s="186">
        <f t="shared" si="32"/>
        <v>180</v>
      </c>
      <c r="T149" s="187">
        <f t="shared" si="33"/>
        <v>0</v>
      </c>
      <c r="U149" s="188">
        <f t="shared" si="22"/>
        <v>180</v>
      </c>
      <c r="V149" s="189">
        <f t="shared" si="23"/>
        <v>0.008888888889</v>
      </c>
      <c r="W149" s="190" t="str">
        <f>IFERROR(__xludf.DUMMYFUNCTION("if(D149="""","""",SPLIT(INDEX(IMPORTHTML(concatenate(""https://finance.yahoo.com/quote/"",D149),""table"",2),6,2),"" ""))"),"#REF!")</f>
        <v>#REF!</v>
      </c>
      <c r="X149" s="191"/>
      <c r="Y149" s="189" t="str">
        <f t="shared" si="24"/>
        <v/>
      </c>
      <c r="Z149" s="191" t="str">
        <f t="shared" si="8"/>
        <v/>
      </c>
      <c r="AA149" s="191">
        <f t="shared" si="9"/>
        <v>7</v>
      </c>
      <c r="AB149" s="70"/>
      <c r="AC149" s="175"/>
      <c r="AD149" s="177"/>
      <c r="AE149" s="175"/>
      <c r="AF149" s="180"/>
      <c r="AG149" s="180"/>
      <c r="AH149" s="180"/>
      <c r="AI149" s="180"/>
      <c r="AJ149" s="180"/>
      <c r="AK149" s="180" t="str">
        <f t="shared" si="34"/>
        <v/>
      </c>
      <c r="AL149" s="72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</row>
    <row r="150" ht="18.0" customHeight="1">
      <c r="A150" s="6"/>
      <c r="B150" s="206">
        <v>44477.0</v>
      </c>
      <c r="C150" s="176" t="s">
        <v>75</v>
      </c>
      <c r="D150" s="176" t="s">
        <v>85</v>
      </c>
      <c r="E150" s="176" t="s">
        <v>82</v>
      </c>
      <c r="F150" s="176" t="s">
        <v>27</v>
      </c>
      <c r="G150" s="216">
        <v>44484.0</v>
      </c>
      <c r="H150" s="179">
        <f>IFERROR(__xludf.DUMMYFUNCTION("GOOGLEFINANCE(D150,""price"")"),197.74)</f>
        <v>197.74</v>
      </c>
      <c r="I150" s="201">
        <v>102.0</v>
      </c>
      <c r="J150" s="181"/>
      <c r="K150" s="181"/>
      <c r="L150" s="181" t="str">
        <f t="shared" si="18"/>
        <v>Option Closed</v>
      </c>
      <c r="M150" s="212">
        <v>1.0</v>
      </c>
      <c r="N150" s="201">
        <v>0.9</v>
      </c>
      <c r="O150" s="183" t="s">
        <v>86</v>
      </c>
      <c r="P150" s="206"/>
      <c r="Q150" s="184"/>
      <c r="R150" s="185">
        <f t="shared" si="19"/>
        <v>0.09</v>
      </c>
      <c r="S150" s="186">
        <f t="shared" si="32"/>
        <v>90</v>
      </c>
      <c r="T150" s="187">
        <f t="shared" si="33"/>
        <v>0</v>
      </c>
      <c r="U150" s="188">
        <f t="shared" si="22"/>
        <v>90</v>
      </c>
      <c r="V150" s="189">
        <f t="shared" si="23"/>
        <v>0.008823529412</v>
      </c>
      <c r="W150" s="190" t="str">
        <f>IFERROR(__xludf.DUMMYFUNCTION("if(D150="""","""",SPLIT(INDEX(IMPORTHTML(concatenate(""https://finance.yahoo.com/quote/"",D150),""table"",2),6,2),"" ""))"),"#REF!")</f>
        <v>#REF!</v>
      </c>
      <c r="X150" s="191"/>
      <c r="Y150" s="189" t="str">
        <f t="shared" si="24"/>
        <v/>
      </c>
      <c r="Z150" s="191" t="str">
        <f t="shared" si="8"/>
        <v/>
      </c>
      <c r="AA150" s="191">
        <f t="shared" si="9"/>
        <v>7</v>
      </c>
      <c r="AB150" s="70"/>
      <c r="AC150" s="175"/>
      <c r="AD150" s="177"/>
      <c r="AE150" s="175"/>
      <c r="AF150" s="180"/>
      <c r="AG150" s="180"/>
      <c r="AH150" s="180"/>
      <c r="AI150" s="180"/>
      <c r="AJ150" s="180"/>
      <c r="AK150" s="180" t="str">
        <f t="shared" si="34"/>
        <v/>
      </c>
      <c r="AL150" s="72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</row>
    <row r="151" ht="18.0" customHeight="1">
      <c r="A151" s="6"/>
      <c r="B151" s="206">
        <v>44477.0</v>
      </c>
      <c r="C151" s="176" t="s">
        <v>75</v>
      </c>
      <c r="D151" s="176" t="s">
        <v>77</v>
      </c>
      <c r="E151" s="176" t="s">
        <v>26</v>
      </c>
      <c r="F151" s="176" t="s">
        <v>27</v>
      </c>
      <c r="G151" s="216">
        <v>44491.0</v>
      </c>
      <c r="H151" s="179">
        <f>IFERROR(__xludf.DUMMYFUNCTION("GOOGLEFINANCE(D151,""price"")"),8.76)</f>
        <v>8.76</v>
      </c>
      <c r="I151" s="201">
        <v>44.0</v>
      </c>
      <c r="J151" s="181"/>
      <c r="K151" s="181"/>
      <c r="L151" s="181" t="str">
        <f t="shared" si="18"/>
        <v>Option Closed</v>
      </c>
      <c r="M151" s="212">
        <v>3.0</v>
      </c>
      <c r="N151" s="201">
        <v>1.72</v>
      </c>
      <c r="O151" s="183" t="s">
        <v>83</v>
      </c>
      <c r="P151" s="206"/>
      <c r="Q151" s="184"/>
      <c r="R151" s="185">
        <f t="shared" si="19"/>
        <v>0.172</v>
      </c>
      <c r="S151" s="186">
        <f t="shared" si="32"/>
        <v>516</v>
      </c>
      <c r="T151" s="187">
        <f t="shared" si="33"/>
        <v>0</v>
      </c>
      <c r="U151" s="188">
        <f t="shared" si="22"/>
        <v>516</v>
      </c>
      <c r="V151" s="189">
        <f t="shared" si="23"/>
        <v>0.03909090909</v>
      </c>
      <c r="W151" s="190" t="str">
        <f>IFERROR(__xludf.DUMMYFUNCTION("if(D151="""","""",SPLIT(INDEX(IMPORTHTML(concatenate(""https://finance.yahoo.com/quote/"",D151),""table"",2),6,2),"" ""))"),"#REF!")</f>
        <v>#REF!</v>
      </c>
      <c r="X151" s="191"/>
      <c r="Y151" s="189" t="str">
        <f t="shared" si="24"/>
        <v/>
      </c>
      <c r="Z151" s="191" t="str">
        <f t="shared" si="8"/>
        <v/>
      </c>
      <c r="AA151" s="191">
        <f t="shared" si="9"/>
        <v>14</v>
      </c>
      <c r="AB151" s="70"/>
      <c r="AC151" s="175"/>
      <c r="AD151" s="177"/>
      <c r="AE151" s="175"/>
      <c r="AF151" s="180"/>
      <c r="AG151" s="180"/>
      <c r="AH151" s="180"/>
      <c r="AI151" s="180"/>
      <c r="AJ151" s="180"/>
      <c r="AK151" s="180" t="str">
        <f t="shared" si="34"/>
        <v/>
      </c>
      <c r="AL151" s="72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</row>
    <row r="152" ht="18.0" customHeight="1">
      <c r="A152" s="6"/>
      <c r="B152" s="206">
        <v>44477.0</v>
      </c>
      <c r="C152" s="176" t="s">
        <v>75</v>
      </c>
      <c r="D152" s="176" t="s">
        <v>84</v>
      </c>
      <c r="E152" s="176" t="s">
        <v>26</v>
      </c>
      <c r="F152" s="176" t="s">
        <v>27</v>
      </c>
      <c r="G152" s="216">
        <v>44484.0</v>
      </c>
      <c r="H152" s="179">
        <f>IFERROR(__xludf.DUMMYFUNCTION("GOOGLEFINANCE(D152,""price"")"),25.54)</f>
        <v>25.54</v>
      </c>
      <c r="I152" s="201">
        <v>55.0</v>
      </c>
      <c r="J152" s="181"/>
      <c r="K152" s="181"/>
      <c r="L152" s="181" t="str">
        <f t="shared" si="18"/>
        <v>Option Closed</v>
      </c>
      <c r="M152" s="212">
        <v>1.0</v>
      </c>
      <c r="N152" s="201">
        <v>0.15</v>
      </c>
      <c r="O152" s="183" t="s">
        <v>86</v>
      </c>
      <c r="P152" s="206"/>
      <c r="Q152" s="184"/>
      <c r="R152" s="185">
        <f t="shared" si="19"/>
        <v>0.015</v>
      </c>
      <c r="S152" s="186">
        <f t="shared" si="32"/>
        <v>15</v>
      </c>
      <c r="T152" s="187">
        <f t="shared" si="33"/>
        <v>0</v>
      </c>
      <c r="U152" s="188">
        <f t="shared" si="22"/>
        <v>15</v>
      </c>
      <c r="V152" s="189">
        <f t="shared" si="23"/>
        <v>0.002727272727</v>
      </c>
      <c r="W152" s="190" t="str">
        <f>IFERROR(__xludf.DUMMYFUNCTION("if(D152="""","""",SPLIT(INDEX(IMPORTHTML(concatenate(""https://finance.yahoo.com/quote/"",D152),""table"",2),6,2),"" ""))"),"#REF!")</f>
        <v>#REF!</v>
      </c>
      <c r="X152" s="191"/>
      <c r="Y152" s="189" t="str">
        <f t="shared" si="24"/>
        <v/>
      </c>
      <c r="Z152" s="191" t="str">
        <f t="shared" si="8"/>
        <v/>
      </c>
      <c r="AA152" s="191">
        <f t="shared" si="9"/>
        <v>7</v>
      </c>
      <c r="AB152" s="70"/>
      <c r="AC152" s="175"/>
      <c r="AD152" s="177"/>
      <c r="AE152" s="175"/>
      <c r="AF152" s="180"/>
      <c r="AG152" s="180"/>
      <c r="AH152" s="180"/>
      <c r="AI152" s="180"/>
      <c r="AJ152" s="180"/>
      <c r="AK152" s="180" t="str">
        <f t="shared" si="34"/>
        <v/>
      </c>
      <c r="AL152" s="72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</row>
    <row r="153" ht="18.0" customHeight="1">
      <c r="A153" s="6"/>
      <c r="B153" s="206">
        <v>44484.0</v>
      </c>
      <c r="C153" s="176" t="s">
        <v>75</v>
      </c>
      <c r="D153" s="176" t="s">
        <v>101</v>
      </c>
      <c r="E153" s="176" t="s">
        <v>82</v>
      </c>
      <c r="F153" s="176" t="s">
        <v>27</v>
      </c>
      <c r="G153" s="216">
        <v>44491.0</v>
      </c>
      <c r="H153" s="179">
        <f>IFERROR(__xludf.DUMMYFUNCTION("GOOGLEFINANCE(D153,""price"")"),183.16)</f>
        <v>183.16</v>
      </c>
      <c r="I153" s="201">
        <v>212.5</v>
      </c>
      <c r="J153" s="181"/>
      <c r="K153" s="181"/>
      <c r="L153" s="181" t="str">
        <f t="shared" si="18"/>
        <v>Option Closed</v>
      </c>
      <c r="M153" s="212">
        <v>1.0</v>
      </c>
      <c r="N153" s="201">
        <v>1.6</v>
      </c>
      <c r="O153" s="183" t="s">
        <v>86</v>
      </c>
      <c r="P153" s="206"/>
      <c r="Q153" s="184"/>
      <c r="R153" s="185">
        <f t="shared" si="19"/>
        <v>0.16</v>
      </c>
      <c r="S153" s="186">
        <f t="shared" si="32"/>
        <v>160</v>
      </c>
      <c r="T153" s="187">
        <f t="shared" si="33"/>
        <v>0</v>
      </c>
      <c r="U153" s="188">
        <f t="shared" si="22"/>
        <v>160</v>
      </c>
      <c r="V153" s="189">
        <f t="shared" si="23"/>
        <v>0.007529411765</v>
      </c>
      <c r="W153" s="190" t="str">
        <f>IFERROR(__xludf.DUMMYFUNCTION("if(D153="""","""",SPLIT(INDEX(IMPORTHTML(concatenate(""https://finance.yahoo.com/quote/"",D153),""table"",2),6,2),"" ""))"),"#REF!")</f>
        <v>#REF!</v>
      </c>
      <c r="X153" s="191"/>
      <c r="Y153" s="189" t="str">
        <f t="shared" si="24"/>
        <v/>
      </c>
      <c r="Z153" s="191" t="str">
        <f t="shared" si="8"/>
        <v/>
      </c>
      <c r="AA153" s="191">
        <f t="shared" si="9"/>
        <v>7</v>
      </c>
      <c r="AB153" s="70"/>
      <c r="AC153" s="175"/>
      <c r="AD153" s="177"/>
      <c r="AE153" s="175"/>
      <c r="AF153" s="180"/>
      <c r="AG153" s="180"/>
      <c r="AH153" s="180"/>
      <c r="AI153" s="180"/>
      <c r="AJ153" s="180"/>
      <c r="AK153" s="180" t="str">
        <f t="shared" si="34"/>
        <v/>
      </c>
      <c r="AL153" s="72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</row>
    <row r="154" ht="18.0" customHeight="1">
      <c r="A154" s="6"/>
      <c r="B154" s="206">
        <v>44484.0</v>
      </c>
      <c r="C154" s="176" t="s">
        <v>75</v>
      </c>
      <c r="D154" s="176" t="s">
        <v>85</v>
      </c>
      <c r="E154" s="176" t="s">
        <v>82</v>
      </c>
      <c r="F154" s="176" t="s">
        <v>27</v>
      </c>
      <c r="G154" s="216">
        <v>44491.0</v>
      </c>
      <c r="H154" s="179">
        <f>IFERROR(__xludf.DUMMYFUNCTION("GOOGLEFINANCE(D154,""price"")"),197.74)</f>
        <v>197.74</v>
      </c>
      <c r="I154" s="201">
        <v>108.0</v>
      </c>
      <c r="J154" s="181"/>
      <c r="K154" s="181"/>
      <c r="L154" s="181" t="str">
        <f t="shared" si="18"/>
        <v>Option Closed</v>
      </c>
      <c r="M154" s="212">
        <v>1.0</v>
      </c>
      <c r="N154" s="201">
        <v>0.7</v>
      </c>
      <c r="O154" s="183" t="s">
        <v>86</v>
      </c>
      <c r="P154" s="206"/>
      <c r="Q154" s="184"/>
      <c r="R154" s="185">
        <f t="shared" si="19"/>
        <v>0.07</v>
      </c>
      <c r="S154" s="186">
        <f t="shared" si="32"/>
        <v>70</v>
      </c>
      <c r="T154" s="187">
        <f t="shared" si="33"/>
        <v>0</v>
      </c>
      <c r="U154" s="188">
        <f t="shared" si="22"/>
        <v>70</v>
      </c>
      <c r="V154" s="189">
        <f t="shared" si="23"/>
        <v>0.006481481481</v>
      </c>
      <c r="W154" s="190" t="str">
        <f>IFERROR(__xludf.DUMMYFUNCTION("if(D154="""","""",SPLIT(INDEX(IMPORTHTML(concatenate(""https://finance.yahoo.com/quote/"",D154),""table"",2),6,2),"" ""))"),"#REF!")</f>
        <v>#REF!</v>
      </c>
      <c r="X154" s="191"/>
      <c r="Y154" s="189" t="str">
        <f t="shared" si="24"/>
        <v/>
      </c>
      <c r="Z154" s="191" t="str">
        <f t="shared" si="8"/>
        <v/>
      </c>
      <c r="AA154" s="191">
        <f t="shared" si="9"/>
        <v>7</v>
      </c>
      <c r="AB154" s="70"/>
      <c r="AC154" s="175"/>
      <c r="AD154" s="177"/>
      <c r="AE154" s="175"/>
      <c r="AF154" s="180"/>
      <c r="AG154" s="180"/>
      <c r="AH154" s="180"/>
      <c r="AI154" s="180"/>
      <c r="AJ154" s="180"/>
      <c r="AK154" s="180" t="str">
        <f t="shared" si="34"/>
        <v/>
      </c>
      <c r="AL154" s="72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</row>
    <row r="155" ht="18.0" customHeight="1">
      <c r="A155" s="6"/>
      <c r="B155" s="206">
        <v>44484.0</v>
      </c>
      <c r="C155" s="176" t="s">
        <v>75</v>
      </c>
      <c r="D155" s="176" t="s">
        <v>76</v>
      </c>
      <c r="E155" s="176" t="s">
        <v>26</v>
      </c>
      <c r="F155" s="176" t="s">
        <v>27</v>
      </c>
      <c r="G155" s="216">
        <v>44491.0</v>
      </c>
      <c r="H155" s="179">
        <f>IFERROR(__xludf.DUMMYFUNCTION("GOOGLEFINANCE(D155,""price"")"),7.53)</f>
        <v>7.53</v>
      </c>
      <c r="I155" s="201">
        <v>119.0</v>
      </c>
      <c r="J155" s="181"/>
      <c r="K155" s="181"/>
      <c r="L155" s="181" t="str">
        <f t="shared" si="18"/>
        <v>Option Closed</v>
      </c>
      <c r="M155" s="212">
        <v>2.0</v>
      </c>
      <c r="N155" s="201">
        <v>0.6</v>
      </c>
      <c r="O155" s="183" t="s">
        <v>86</v>
      </c>
      <c r="P155" s="206"/>
      <c r="Q155" s="184"/>
      <c r="R155" s="185">
        <f t="shared" si="19"/>
        <v>0.06</v>
      </c>
      <c r="S155" s="186">
        <f t="shared" si="32"/>
        <v>120</v>
      </c>
      <c r="T155" s="187">
        <f t="shared" si="33"/>
        <v>0</v>
      </c>
      <c r="U155" s="188">
        <f t="shared" si="22"/>
        <v>120</v>
      </c>
      <c r="V155" s="189">
        <f t="shared" si="23"/>
        <v>0.005042016807</v>
      </c>
      <c r="W155" s="190" t="str">
        <f>IFERROR(__xludf.DUMMYFUNCTION("if(D155="""","""",SPLIT(INDEX(IMPORTHTML(concatenate(""https://finance.yahoo.com/quote/"",D155),""table"",2),6,2),"" ""))"),"#REF!")</f>
        <v>#REF!</v>
      </c>
      <c r="X155" s="191"/>
      <c r="Y155" s="189" t="str">
        <f t="shared" si="24"/>
        <v/>
      </c>
      <c r="Z155" s="191" t="str">
        <f t="shared" si="8"/>
        <v/>
      </c>
      <c r="AA155" s="191">
        <f t="shared" si="9"/>
        <v>7</v>
      </c>
      <c r="AB155" s="70"/>
      <c r="AC155" s="175"/>
      <c r="AD155" s="177"/>
      <c r="AE155" s="175"/>
      <c r="AF155" s="180"/>
      <c r="AG155" s="180"/>
      <c r="AH155" s="180"/>
      <c r="AI155" s="180"/>
      <c r="AJ155" s="180"/>
      <c r="AK155" s="180" t="str">
        <f t="shared" si="34"/>
        <v/>
      </c>
      <c r="AL155" s="72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</row>
    <row r="156" ht="18.0" customHeight="1">
      <c r="A156" s="6"/>
      <c r="B156" s="206">
        <v>44484.0</v>
      </c>
      <c r="C156" s="176" t="s">
        <v>75</v>
      </c>
      <c r="D156" s="176" t="s">
        <v>78</v>
      </c>
      <c r="E156" s="176" t="s">
        <v>26</v>
      </c>
      <c r="F156" s="176" t="s">
        <v>27</v>
      </c>
      <c r="G156" s="217">
        <v>44519.0</v>
      </c>
      <c r="H156" s="179">
        <f>IFERROR(__xludf.DUMMYFUNCTION("GOOGLEFINANCE(D156,""price"")"),720.66)</f>
        <v>720.66</v>
      </c>
      <c r="I156" s="201">
        <v>440.0</v>
      </c>
      <c r="J156" s="181"/>
      <c r="K156" s="181"/>
      <c r="L156" s="181" t="str">
        <f t="shared" si="18"/>
        <v>Option Closed</v>
      </c>
      <c r="M156" s="212">
        <v>6.0</v>
      </c>
      <c r="N156" s="201">
        <v>1.5</v>
      </c>
      <c r="O156" s="183" t="s">
        <v>45</v>
      </c>
      <c r="P156" s="206">
        <v>44518.0</v>
      </c>
      <c r="Q156" s="184">
        <v>9.0</v>
      </c>
      <c r="R156" s="185">
        <f t="shared" si="19"/>
        <v>0.15</v>
      </c>
      <c r="S156" s="186">
        <f t="shared" si="32"/>
        <v>900</v>
      </c>
      <c r="T156" s="187">
        <f t="shared" si="33"/>
        <v>-5400</v>
      </c>
      <c r="U156" s="188">
        <f t="shared" si="22"/>
        <v>-4500</v>
      </c>
      <c r="V156" s="189">
        <f t="shared" si="23"/>
        <v>0.003409090909</v>
      </c>
      <c r="W156" s="190" t="str">
        <f>IFERROR(__xludf.DUMMYFUNCTION("if(D156="""","""",SPLIT(INDEX(IMPORTHTML(concatenate(""https://finance.yahoo.com/quote/"",D156),""table"",2),6,2),"" ""))"),"#REF!")</f>
        <v>#REF!</v>
      </c>
      <c r="X156" s="191"/>
      <c r="Y156" s="189" t="str">
        <f t="shared" si="24"/>
        <v/>
      </c>
      <c r="Z156" s="191" t="str">
        <f t="shared" si="8"/>
        <v/>
      </c>
      <c r="AA156" s="191">
        <f t="shared" si="9"/>
        <v>34</v>
      </c>
      <c r="AB156" s="70"/>
      <c r="AC156" s="175"/>
      <c r="AD156" s="177"/>
      <c r="AE156" s="175"/>
      <c r="AF156" s="180"/>
      <c r="AG156" s="180"/>
      <c r="AH156" s="180"/>
      <c r="AI156" s="180"/>
      <c r="AJ156" s="180"/>
      <c r="AK156" s="180" t="str">
        <f t="shared" si="34"/>
        <v/>
      </c>
      <c r="AL156" s="72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</row>
    <row r="157" ht="18.0" customHeight="1">
      <c r="A157" s="6"/>
      <c r="B157" s="206">
        <v>44487.0</v>
      </c>
      <c r="C157" s="176" t="s">
        <v>75</v>
      </c>
      <c r="D157" s="176" t="s">
        <v>79</v>
      </c>
      <c r="E157" s="176" t="s">
        <v>26</v>
      </c>
      <c r="F157" s="176" t="s">
        <v>27</v>
      </c>
      <c r="G157" s="217">
        <v>44519.0</v>
      </c>
      <c r="H157" s="179">
        <f>IFERROR(__xludf.DUMMYFUNCTION("GOOGLEFINANCE(D157,""price"")"),5.55)</f>
        <v>5.55</v>
      </c>
      <c r="I157" s="201">
        <v>40.0</v>
      </c>
      <c r="J157" s="181"/>
      <c r="K157" s="181"/>
      <c r="L157" s="181" t="str">
        <f t="shared" si="18"/>
        <v>Option Closed</v>
      </c>
      <c r="M157" s="212">
        <v>2.0</v>
      </c>
      <c r="N157" s="201">
        <v>0.26</v>
      </c>
      <c r="O157" s="183" t="s">
        <v>86</v>
      </c>
      <c r="P157" s="206"/>
      <c r="Q157" s="184"/>
      <c r="R157" s="185">
        <f t="shared" si="19"/>
        <v>0.026</v>
      </c>
      <c r="S157" s="186">
        <f t="shared" si="32"/>
        <v>52</v>
      </c>
      <c r="T157" s="187">
        <f t="shared" si="33"/>
        <v>0</v>
      </c>
      <c r="U157" s="188">
        <f t="shared" si="22"/>
        <v>52</v>
      </c>
      <c r="V157" s="189">
        <f t="shared" si="23"/>
        <v>0.0065</v>
      </c>
      <c r="W157" s="190" t="str">
        <f>IFERROR(__xludf.DUMMYFUNCTION("if(D157="""","""",SPLIT(INDEX(IMPORTHTML(concatenate(""https://finance.yahoo.com/quote/"",D157),""table"",2),6,2),"" ""))"),"#REF!")</f>
        <v>#REF!</v>
      </c>
      <c r="X157" s="191"/>
      <c r="Y157" s="189" t="str">
        <f t="shared" si="24"/>
        <v/>
      </c>
      <c r="Z157" s="191" t="str">
        <f t="shared" si="8"/>
        <v/>
      </c>
      <c r="AA157" s="191">
        <f t="shared" si="9"/>
        <v>32</v>
      </c>
      <c r="AB157" s="70"/>
      <c r="AC157" s="175"/>
      <c r="AD157" s="177"/>
      <c r="AE157" s="175"/>
      <c r="AF157" s="180"/>
      <c r="AG157" s="180"/>
      <c r="AH157" s="180"/>
      <c r="AI157" s="180"/>
      <c r="AJ157" s="180"/>
      <c r="AK157" s="180" t="str">
        <f t="shared" si="34"/>
        <v/>
      </c>
      <c r="AL157" s="72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</row>
    <row r="158" ht="18.0" customHeight="1">
      <c r="A158" s="6"/>
      <c r="B158" s="206">
        <v>44489.0</v>
      </c>
      <c r="C158" s="176" t="s">
        <v>75</v>
      </c>
      <c r="D158" s="176" t="s">
        <v>88</v>
      </c>
      <c r="E158" s="176" t="s">
        <v>82</v>
      </c>
      <c r="F158" s="176" t="s">
        <v>27</v>
      </c>
      <c r="G158" s="217">
        <v>44491.0</v>
      </c>
      <c r="H158" s="179">
        <f>IFERROR(__xludf.DUMMYFUNCTION("GOOGLEFINANCE(D158,""price"")"),46.83)</f>
        <v>46.83</v>
      </c>
      <c r="I158" s="201">
        <v>133.0</v>
      </c>
      <c r="J158" s="181"/>
      <c r="K158" s="181"/>
      <c r="L158" s="181" t="str">
        <f t="shared" si="18"/>
        <v>Option Closed</v>
      </c>
      <c r="M158" s="212">
        <v>3.0</v>
      </c>
      <c r="N158" s="201">
        <v>0.26</v>
      </c>
      <c r="O158" s="183" t="s">
        <v>45</v>
      </c>
      <c r="P158" s="206">
        <v>44491.0</v>
      </c>
      <c r="Q158" s="184">
        <v>0.05</v>
      </c>
      <c r="R158" s="185">
        <f t="shared" si="19"/>
        <v>0.026</v>
      </c>
      <c r="S158" s="186">
        <f t="shared" si="32"/>
        <v>78</v>
      </c>
      <c r="T158" s="187">
        <f t="shared" si="33"/>
        <v>-15</v>
      </c>
      <c r="U158" s="188">
        <f t="shared" si="22"/>
        <v>63</v>
      </c>
      <c r="V158" s="189">
        <f t="shared" si="23"/>
        <v>0.001954887218</v>
      </c>
      <c r="W158" s="190" t="str">
        <f>IFERROR(__xludf.DUMMYFUNCTION("if(D158="""","""",SPLIT(INDEX(IMPORTHTML(concatenate(""https://finance.yahoo.com/quote/"",D158),""table"",2),6,2),"" ""))"),"#REF!")</f>
        <v>#REF!</v>
      </c>
      <c r="X158" s="191"/>
      <c r="Y158" s="189" t="str">
        <f t="shared" si="24"/>
        <v/>
      </c>
      <c r="Z158" s="191" t="str">
        <f t="shared" si="8"/>
        <v/>
      </c>
      <c r="AA158" s="191">
        <f t="shared" si="9"/>
        <v>2</v>
      </c>
      <c r="AB158" s="70"/>
      <c r="AC158" s="175"/>
      <c r="AD158" s="177"/>
      <c r="AE158" s="175"/>
      <c r="AF158" s="180"/>
      <c r="AG158" s="180"/>
      <c r="AH158" s="180"/>
      <c r="AI158" s="180"/>
      <c r="AJ158" s="180"/>
      <c r="AK158" s="180" t="str">
        <f t="shared" si="34"/>
        <v/>
      </c>
      <c r="AL158" s="72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</row>
    <row r="159" ht="18.0" customHeight="1">
      <c r="A159" s="6"/>
      <c r="B159" s="206">
        <v>44491.0</v>
      </c>
      <c r="C159" s="176" t="s">
        <v>75</v>
      </c>
      <c r="D159" s="176" t="s">
        <v>85</v>
      </c>
      <c r="E159" s="176" t="s">
        <v>82</v>
      </c>
      <c r="F159" s="176" t="s">
        <v>27</v>
      </c>
      <c r="G159" s="216">
        <v>44498.0</v>
      </c>
      <c r="H159" s="179">
        <f>IFERROR(__xludf.DUMMYFUNCTION("GOOGLEFINANCE(D159,""price"")"),197.74)</f>
        <v>197.74</v>
      </c>
      <c r="I159" s="201">
        <v>112.0</v>
      </c>
      <c r="J159" s="181"/>
      <c r="K159" s="181"/>
      <c r="L159" s="181" t="str">
        <f t="shared" si="18"/>
        <v>Option Closed</v>
      </c>
      <c r="M159" s="212">
        <v>1.0</v>
      </c>
      <c r="N159" s="201">
        <v>1.2</v>
      </c>
      <c r="O159" s="183" t="s">
        <v>86</v>
      </c>
      <c r="P159" s="206"/>
      <c r="Q159" s="184"/>
      <c r="R159" s="185">
        <f t="shared" si="19"/>
        <v>0.12</v>
      </c>
      <c r="S159" s="186">
        <f t="shared" si="32"/>
        <v>120</v>
      </c>
      <c r="T159" s="187">
        <f t="shared" si="33"/>
        <v>0</v>
      </c>
      <c r="U159" s="188">
        <f t="shared" si="22"/>
        <v>120</v>
      </c>
      <c r="V159" s="189">
        <f t="shared" si="23"/>
        <v>0.01071428571</v>
      </c>
      <c r="W159" s="190" t="str">
        <f>IFERROR(__xludf.DUMMYFUNCTION("if(D159="""","""",SPLIT(INDEX(IMPORTHTML(concatenate(""https://finance.yahoo.com/quote/"",D159),""table"",2),6,2),"" ""))"),"#REF!")</f>
        <v>#REF!</v>
      </c>
      <c r="X159" s="191"/>
      <c r="Y159" s="189" t="str">
        <f t="shared" si="24"/>
        <v/>
      </c>
      <c r="Z159" s="191" t="str">
        <f t="shared" si="8"/>
        <v/>
      </c>
      <c r="AA159" s="191">
        <f t="shared" si="9"/>
        <v>7</v>
      </c>
      <c r="AB159" s="70"/>
      <c r="AC159" s="175"/>
      <c r="AD159" s="177"/>
      <c r="AE159" s="175"/>
      <c r="AF159" s="180"/>
      <c r="AG159" s="180"/>
      <c r="AH159" s="180"/>
      <c r="AI159" s="180"/>
      <c r="AJ159" s="180"/>
      <c r="AK159" s="180" t="str">
        <f t="shared" si="34"/>
        <v/>
      </c>
      <c r="AL159" s="72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</row>
    <row r="160" ht="18.0" customHeight="1">
      <c r="A160" s="6"/>
      <c r="B160" s="206">
        <v>44491.0</v>
      </c>
      <c r="C160" s="176" t="s">
        <v>75</v>
      </c>
      <c r="D160" s="176" t="s">
        <v>88</v>
      </c>
      <c r="E160" s="176" t="s">
        <v>82</v>
      </c>
      <c r="F160" s="176" t="s">
        <v>27</v>
      </c>
      <c r="G160" s="217">
        <v>44498.0</v>
      </c>
      <c r="H160" s="179">
        <f>IFERROR(__xludf.DUMMYFUNCTION("GOOGLEFINANCE(D160,""price"")"),46.83)</f>
        <v>46.83</v>
      </c>
      <c r="I160" s="201">
        <v>133.0</v>
      </c>
      <c r="J160" s="181"/>
      <c r="K160" s="181"/>
      <c r="L160" s="181" t="str">
        <f t="shared" si="18"/>
        <v>Option Closed</v>
      </c>
      <c r="M160" s="212">
        <v>3.0</v>
      </c>
      <c r="N160" s="201">
        <v>1.28</v>
      </c>
      <c r="O160" s="183" t="s">
        <v>86</v>
      </c>
      <c r="P160" s="206"/>
      <c r="Q160" s="184"/>
      <c r="R160" s="185">
        <f t="shared" si="19"/>
        <v>0.128</v>
      </c>
      <c r="S160" s="186">
        <f t="shared" si="32"/>
        <v>384</v>
      </c>
      <c r="T160" s="187">
        <f t="shared" si="33"/>
        <v>0</v>
      </c>
      <c r="U160" s="188">
        <f t="shared" si="22"/>
        <v>384</v>
      </c>
      <c r="V160" s="189">
        <f t="shared" si="23"/>
        <v>0.00962406015</v>
      </c>
      <c r="W160" s="190" t="str">
        <f>IFERROR(__xludf.DUMMYFUNCTION("if(D160="""","""",SPLIT(INDEX(IMPORTHTML(concatenate(""https://finance.yahoo.com/quote/"",D160),""table"",2),6,2),"" ""))"),"#REF!")</f>
        <v>#REF!</v>
      </c>
      <c r="X160" s="191"/>
      <c r="Y160" s="189" t="str">
        <f t="shared" si="24"/>
        <v/>
      </c>
      <c r="Z160" s="191" t="str">
        <f t="shared" si="8"/>
        <v/>
      </c>
      <c r="AA160" s="191">
        <f t="shared" si="9"/>
        <v>7</v>
      </c>
      <c r="AB160" s="70"/>
      <c r="AC160" s="175"/>
      <c r="AD160" s="177"/>
      <c r="AE160" s="175"/>
      <c r="AF160" s="180"/>
      <c r="AG160" s="180"/>
      <c r="AH160" s="180"/>
      <c r="AI160" s="180"/>
      <c r="AJ160" s="180"/>
      <c r="AK160" s="180" t="str">
        <f t="shared" si="34"/>
        <v/>
      </c>
      <c r="AL160" s="72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</row>
    <row r="161" ht="18.0" customHeight="1">
      <c r="A161" s="6"/>
      <c r="B161" s="206">
        <v>44477.0</v>
      </c>
      <c r="C161" s="176" t="s">
        <v>75</v>
      </c>
      <c r="D161" s="176" t="s">
        <v>77</v>
      </c>
      <c r="E161" s="176" t="s">
        <v>82</v>
      </c>
      <c r="F161" s="176" t="s">
        <v>27</v>
      </c>
      <c r="G161" s="216">
        <v>44498.0</v>
      </c>
      <c r="H161" s="179">
        <f>IFERROR(__xludf.DUMMYFUNCTION("GOOGLEFINANCE(D161,""price"")"),8.76)</f>
        <v>8.76</v>
      </c>
      <c r="I161" s="201">
        <v>47.0</v>
      </c>
      <c r="J161" s="181"/>
      <c r="K161" s="181"/>
      <c r="L161" s="181" t="str">
        <f t="shared" si="18"/>
        <v>Option Closed</v>
      </c>
      <c r="M161" s="212">
        <v>5.0</v>
      </c>
      <c r="N161" s="201">
        <v>2.0</v>
      </c>
      <c r="O161" s="183" t="s">
        <v>45</v>
      </c>
      <c r="P161" s="206">
        <v>44494.0</v>
      </c>
      <c r="Q161" s="184">
        <v>0.35</v>
      </c>
      <c r="R161" s="185">
        <f t="shared" si="19"/>
        <v>0.2</v>
      </c>
      <c r="S161" s="186">
        <f t="shared" si="32"/>
        <v>1000</v>
      </c>
      <c r="T161" s="187">
        <f t="shared" si="33"/>
        <v>-175</v>
      </c>
      <c r="U161" s="188">
        <f t="shared" si="22"/>
        <v>825</v>
      </c>
      <c r="V161" s="189">
        <f t="shared" si="23"/>
        <v>0.04255319149</v>
      </c>
      <c r="W161" s="190" t="str">
        <f>IFERROR(__xludf.DUMMYFUNCTION("if(D161="""","""",SPLIT(INDEX(IMPORTHTML(concatenate(""https://finance.yahoo.com/quote/"",D161),""table"",2),6,2),"" ""))"),"#REF!")</f>
        <v>#REF!</v>
      </c>
      <c r="X161" s="191"/>
      <c r="Y161" s="189" t="str">
        <f t="shared" si="24"/>
        <v/>
      </c>
      <c r="Z161" s="191" t="str">
        <f t="shared" si="8"/>
        <v/>
      </c>
      <c r="AA161" s="191">
        <f t="shared" si="9"/>
        <v>17</v>
      </c>
      <c r="AB161" s="70"/>
      <c r="AC161" s="175"/>
      <c r="AD161" s="177"/>
      <c r="AE161" s="175"/>
      <c r="AF161" s="180"/>
      <c r="AG161" s="180"/>
      <c r="AH161" s="180"/>
      <c r="AI161" s="180"/>
      <c r="AJ161" s="180"/>
      <c r="AK161" s="180" t="str">
        <f t="shared" si="34"/>
        <v/>
      </c>
      <c r="AL161" s="72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</row>
    <row r="162" ht="18.0" customHeight="1">
      <c r="A162" s="6"/>
      <c r="B162" s="206">
        <v>44490.0</v>
      </c>
      <c r="C162" s="176" t="s">
        <v>75</v>
      </c>
      <c r="D162" s="176" t="s">
        <v>78</v>
      </c>
      <c r="E162" s="176" t="s">
        <v>26</v>
      </c>
      <c r="F162" s="176" t="s">
        <v>27</v>
      </c>
      <c r="G162" s="217">
        <v>44519.0</v>
      </c>
      <c r="H162" s="179">
        <f>IFERROR(__xludf.DUMMYFUNCTION("GOOGLEFINANCE(D162,""price"")"),720.66)</f>
        <v>720.66</v>
      </c>
      <c r="I162" s="201">
        <v>445.0</v>
      </c>
      <c r="J162" s="181"/>
      <c r="K162" s="181"/>
      <c r="L162" s="181" t="str">
        <f t="shared" si="18"/>
        <v>Option Closed</v>
      </c>
      <c r="M162" s="212">
        <v>1.0</v>
      </c>
      <c r="N162" s="201">
        <v>1.4</v>
      </c>
      <c r="O162" s="183" t="s">
        <v>45</v>
      </c>
      <c r="P162" s="206">
        <v>44518.0</v>
      </c>
      <c r="Q162" s="184">
        <v>4.0</v>
      </c>
      <c r="R162" s="185">
        <f t="shared" si="19"/>
        <v>0.14</v>
      </c>
      <c r="S162" s="186">
        <f t="shared" si="32"/>
        <v>140</v>
      </c>
      <c r="T162" s="187">
        <f t="shared" si="33"/>
        <v>-400</v>
      </c>
      <c r="U162" s="188">
        <f t="shared" si="22"/>
        <v>-260</v>
      </c>
      <c r="V162" s="189">
        <f t="shared" si="23"/>
        <v>0.003146067416</v>
      </c>
      <c r="W162" s="190" t="str">
        <f>IFERROR(__xludf.DUMMYFUNCTION("if(D162="""","""",SPLIT(INDEX(IMPORTHTML(concatenate(""https://finance.yahoo.com/quote/"",D162),""table"",2),6,2),"" ""))"),"#REF!")</f>
        <v>#REF!</v>
      </c>
      <c r="X162" s="191"/>
      <c r="Y162" s="189" t="str">
        <f t="shared" si="24"/>
        <v/>
      </c>
      <c r="Z162" s="191" t="str">
        <f t="shared" si="8"/>
        <v/>
      </c>
      <c r="AA162" s="191">
        <f t="shared" si="9"/>
        <v>28</v>
      </c>
      <c r="AB162" s="70"/>
      <c r="AC162" s="175"/>
      <c r="AD162" s="177"/>
      <c r="AE162" s="175"/>
      <c r="AF162" s="180"/>
      <c r="AG162" s="180"/>
      <c r="AH162" s="180"/>
      <c r="AI162" s="180"/>
      <c r="AJ162" s="180"/>
      <c r="AK162" s="180" t="str">
        <f t="shared" si="34"/>
        <v/>
      </c>
      <c r="AL162" s="72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</row>
    <row r="163" ht="18.0" customHeight="1">
      <c r="A163" s="6"/>
      <c r="B163" s="206">
        <v>44490.0</v>
      </c>
      <c r="C163" s="176" t="s">
        <v>75</v>
      </c>
      <c r="D163" s="176" t="s">
        <v>76</v>
      </c>
      <c r="E163" s="176" t="s">
        <v>26</v>
      </c>
      <c r="F163" s="176" t="s">
        <v>27</v>
      </c>
      <c r="G163" s="217">
        <v>44498.0</v>
      </c>
      <c r="H163" s="179">
        <f>IFERROR(__xludf.DUMMYFUNCTION("GOOGLEFINANCE(D163,""price"")"),7.53)</f>
        <v>7.53</v>
      </c>
      <c r="I163" s="201">
        <v>121.0</v>
      </c>
      <c r="J163" s="181"/>
      <c r="K163" s="181"/>
      <c r="L163" s="181" t="str">
        <f t="shared" si="18"/>
        <v>Option Closed</v>
      </c>
      <c r="M163" s="212">
        <v>2.0</v>
      </c>
      <c r="N163" s="201">
        <v>0.8</v>
      </c>
      <c r="O163" s="183" t="s">
        <v>83</v>
      </c>
      <c r="P163" s="206"/>
      <c r="Q163" s="184"/>
      <c r="R163" s="185">
        <f t="shared" si="19"/>
        <v>0.08</v>
      </c>
      <c r="S163" s="186">
        <f t="shared" si="32"/>
        <v>160</v>
      </c>
      <c r="T163" s="187">
        <f t="shared" si="33"/>
        <v>0</v>
      </c>
      <c r="U163" s="188">
        <f t="shared" si="22"/>
        <v>160</v>
      </c>
      <c r="V163" s="189">
        <f t="shared" si="23"/>
        <v>0.006611570248</v>
      </c>
      <c r="W163" s="190" t="str">
        <f>IFERROR(__xludf.DUMMYFUNCTION("if(D163="""","""",SPLIT(INDEX(IMPORTHTML(concatenate(""https://finance.yahoo.com/quote/"",D163),""table"",2),6,2),"" ""))"),"#REF!")</f>
        <v>#REF!</v>
      </c>
      <c r="X163" s="191"/>
      <c r="Y163" s="189" t="str">
        <f t="shared" si="24"/>
        <v/>
      </c>
      <c r="Z163" s="191" t="str">
        <f t="shared" si="8"/>
        <v/>
      </c>
      <c r="AA163" s="191">
        <f t="shared" si="9"/>
        <v>8</v>
      </c>
      <c r="AB163" s="70"/>
      <c r="AC163" s="175"/>
      <c r="AD163" s="177"/>
      <c r="AE163" s="175"/>
      <c r="AF163" s="180"/>
      <c r="AG163" s="180"/>
      <c r="AH163" s="180"/>
      <c r="AI163" s="180"/>
      <c r="AJ163" s="180"/>
      <c r="AK163" s="180" t="str">
        <f t="shared" si="34"/>
        <v/>
      </c>
      <c r="AL163" s="72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</row>
    <row r="164" ht="18.0" customHeight="1">
      <c r="A164" s="6"/>
      <c r="B164" s="206">
        <v>44494.0</v>
      </c>
      <c r="C164" s="176" t="s">
        <v>75</v>
      </c>
      <c r="D164" s="176" t="s">
        <v>79</v>
      </c>
      <c r="E164" s="176" t="s">
        <v>26</v>
      </c>
      <c r="F164" s="176" t="s">
        <v>27</v>
      </c>
      <c r="G164" s="217">
        <v>44498.0</v>
      </c>
      <c r="H164" s="179">
        <f>IFERROR(__xludf.DUMMYFUNCTION("GOOGLEFINANCE(D164,""price"")"),5.55)</f>
        <v>5.55</v>
      </c>
      <c r="I164" s="201">
        <v>43.0</v>
      </c>
      <c r="J164" s="181"/>
      <c r="K164" s="181"/>
      <c r="L164" s="181" t="str">
        <f t="shared" si="18"/>
        <v>Option Closed</v>
      </c>
      <c r="M164" s="212">
        <v>2.0</v>
      </c>
      <c r="N164" s="201">
        <v>0.16</v>
      </c>
      <c r="O164" s="183" t="s">
        <v>86</v>
      </c>
      <c r="P164" s="206"/>
      <c r="Q164" s="184"/>
      <c r="R164" s="185">
        <f t="shared" si="19"/>
        <v>0.016</v>
      </c>
      <c r="S164" s="186">
        <f t="shared" si="32"/>
        <v>32</v>
      </c>
      <c r="T164" s="187">
        <f t="shared" si="33"/>
        <v>0</v>
      </c>
      <c r="U164" s="188">
        <f t="shared" si="22"/>
        <v>32</v>
      </c>
      <c r="V164" s="189">
        <f t="shared" si="23"/>
        <v>0.003720930233</v>
      </c>
      <c r="W164" s="190" t="str">
        <f>IFERROR(__xludf.DUMMYFUNCTION("if(D164="""","""",SPLIT(INDEX(IMPORTHTML(concatenate(""https://finance.yahoo.com/quote/"",D164),""table"",2),6,2),"" ""))"),"#REF!")</f>
        <v>#REF!</v>
      </c>
      <c r="X164" s="191"/>
      <c r="Y164" s="189" t="str">
        <f t="shared" si="24"/>
        <v/>
      </c>
      <c r="Z164" s="191" t="str">
        <f t="shared" si="8"/>
        <v/>
      </c>
      <c r="AA164" s="191">
        <f t="shared" si="9"/>
        <v>4</v>
      </c>
      <c r="AB164" s="70"/>
      <c r="AC164" s="175"/>
      <c r="AD164" s="177"/>
      <c r="AE164" s="175"/>
      <c r="AF164" s="180"/>
      <c r="AG164" s="180"/>
      <c r="AH164" s="180"/>
      <c r="AI164" s="180"/>
      <c r="AJ164" s="180"/>
      <c r="AK164" s="180" t="str">
        <f t="shared" si="34"/>
        <v/>
      </c>
      <c r="AL164" s="72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</row>
    <row r="165" ht="18.0" customHeight="1">
      <c r="A165" s="6"/>
      <c r="B165" s="217">
        <v>44495.0</v>
      </c>
      <c r="C165" s="176" t="s">
        <v>75</v>
      </c>
      <c r="D165" s="176" t="s">
        <v>85</v>
      </c>
      <c r="E165" s="176" t="s">
        <v>82</v>
      </c>
      <c r="F165" s="176" t="s">
        <v>27</v>
      </c>
      <c r="G165" s="216">
        <v>44498.0</v>
      </c>
      <c r="H165" s="179">
        <f>IFERROR(__xludf.DUMMYFUNCTION("GOOGLEFINANCE(D165,""price"")"),197.74)</f>
        <v>197.74</v>
      </c>
      <c r="I165" s="201">
        <v>119.0</v>
      </c>
      <c r="J165" s="181"/>
      <c r="K165" s="181"/>
      <c r="L165" s="181" t="str">
        <f t="shared" si="18"/>
        <v>Option Closed</v>
      </c>
      <c r="M165" s="212">
        <v>1.0</v>
      </c>
      <c r="N165" s="201">
        <v>2.0</v>
      </c>
      <c r="O165" s="183" t="s">
        <v>45</v>
      </c>
      <c r="P165" s="206">
        <v>44496.0</v>
      </c>
      <c r="Q165" s="184">
        <v>0.5</v>
      </c>
      <c r="R165" s="185">
        <f t="shared" si="19"/>
        <v>0.2</v>
      </c>
      <c r="S165" s="186">
        <f t="shared" si="32"/>
        <v>200</v>
      </c>
      <c r="T165" s="187">
        <f t="shared" si="33"/>
        <v>-50</v>
      </c>
      <c r="U165" s="188">
        <f t="shared" si="22"/>
        <v>150</v>
      </c>
      <c r="V165" s="189">
        <f t="shared" si="23"/>
        <v>0.01680672269</v>
      </c>
      <c r="W165" s="190" t="str">
        <f>IFERROR(__xludf.DUMMYFUNCTION("if(D165="""","""",SPLIT(INDEX(IMPORTHTML(concatenate(""https://finance.yahoo.com/quote/"",D165),""table"",2),6,2),"" ""))"),"#REF!")</f>
        <v>#REF!</v>
      </c>
      <c r="X165" s="191"/>
      <c r="Y165" s="189" t="str">
        <f t="shared" si="24"/>
        <v/>
      </c>
      <c r="Z165" s="191" t="str">
        <f t="shared" si="8"/>
        <v/>
      </c>
      <c r="AA165" s="191">
        <f t="shared" si="9"/>
        <v>1</v>
      </c>
      <c r="AB165" s="70"/>
      <c r="AC165" s="175"/>
      <c r="AD165" s="177"/>
      <c r="AE165" s="175"/>
      <c r="AF165" s="180"/>
      <c r="AG165" s="180"/>
      <c r="AH165" s="180"/>
      <c r="AI165" s="180"/>
      <c r="AJ165" s="180"/>
      <c r="AK165" s="180" t="str">
        <f t="shared" si="34"/>
        <v/>
      </c>
      <c r="AL165" s="72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</row>
    <row r="166" ht="18.0" customHeight="1">
      <c r="A166" s="6"/>
      <c r="B166" s="217">
        <v>44497.0</v>
      </c>
      <c r="C166" s="176" t="s">
        <v>75</v>
      </c>
      <c r="D166" s="176" t="s">
        <v>85</v>
      </c>
      <c r="E166" s="176" t="s">
        <v>82</v>
      </c>
      <c r="F166" s="176" t="s">
        <v>27</v>
      </c>
      <c r="G166" s="216">
        <v>44505.0</v>
      </c>
      <c r="H166" s="179">
        <f>IFERROR(__xludf.DUMMYFUNCTION("GOOGLEFINANCE(D166,""price"")"),197.74)</f>
        <v>197.74</v>
      </c>
      <c r="I166" s="201">
        <v>117.0</v>
      </c>
      <c r="J166" s="181"/>
      <c r="K166" s="181"/>
      <c r="L166" s="181" t="str">
        <f t="shared" si="18"/>
        <v>Option Closed</v>
      </c>
      <c r="M166" s="212">
        <v>1.0</v>
      </c>
      <c r="N166" s="201">
        <v>1.2</v>
      </c>
      <c r="O166" s="183" t="s">
        <v>45</v>
      </c>
      <c r="P166" s="206">
        <v>44502.0</v>
      </c>
      <c r="Q166" s="184">
        <v>0.1</v>
      </c>
      <c r="R166" s="185">
        <f t="shared" si="19"/>
        <v>0.12</v>
      </c>
      <c r="S166" s="186">
        <f t="shared" si="32"/>
        <v>120</v>
      </c>
      <c r="T166" s="187">
        <f t="shared" si="33"/>
        <v>-10</v>
      </c>
      <c r="U166" s="188">
        <f t="shared" si="22"/>
        <v>110</v>
      </c>
      <c r="V166" s="189">
        <f t="shared" si="23"/>
        <v>0.01025641026</v>
      </c>
      <c r="W166" s="190" t="str">
        <f>IFERROR(__xludf.DUMMYFUNCTION("if(D166="""","""",SPLIT(INDEX(IMPORTHTML(concatenate(""https://finance.yahoo.com/quote/"",D166),""table"",2),6,2),"" ""))"),"#REF!")</f>
        <v>#REF!</v>
      </c>
      <c r="X166" s="191"/>
      <c r="Y166" s="189" t="str">
        <f t="shared" si="24"/>
        <v/>
      </c>
      <c r="Z166" s="191" t="str">
        <f t="shared" si="8"/>
        <v/>
      </c>
      <c r="AA166" s="191">
        <f t="shared" si="9"/>
        <v>5</v>
      </c>
      <c r="AB166" s="70"/>
      <c r="AC166" s="175"/>
      <c r="AD166" s="177"/>
      <c r="AE166" s="175"/>
      <c r="AF166" s="180"/>
      <c r="AG166" s="180"/>
      <c r="AH166" s="180"/>
      <c r="AI166" s="180"/>
      <c r="AJ166" s="180"/>
      <c r="AK166" s="180" t="str">
        <f t="shared" si="34"/>
        <v/>
      </c>
      <c r="AL166" s="72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</row>
    <row r="167" ht="18.0" customHeight="1">
      <c r="A167" s="6"/>
      <c r="B167" s="217">
        <v>44497.0</v>
      </c>
      <c r="C167" s="176" t="s">
        <v>75</v>
      </c>
      <c r="D167" s="176" t="s">
        <v>85</v>
      </c>
      <c r="E167" s="176" t="s">
        <v>82</v>
      </c>
      <c r="F167" s="176" t="s">
        <v>27</v>
      </c>
      <c r="G167" s="216">
        <v>44505.0</v>
      </c>
      <c r="H167" s="179">
        <f>IFERROR(__xludf.DUMMYFUNCTION("GOOGLEFINANCE(D167,""price"")"),197.74)</f>
        <v>197.74</v>
      </c>
      <c r="I167" s="201">
        <v>117.0</v>
      </c>
      <c r="J167" s="181"/>
      <c r="K167" s="181"/>
      <c r="L167" s="181" t="str">
        <f t="shared" si="18"/>
        <v>Option Closed</v>
      </c>
      <c r="M167" s="212">
        <v>1.0</v>
      </c>
      <c r="N167" s="201">
        <v>1.08</v>
      </c>
      <c r="O167" s="183" t="s">
        <v>45</v>
      </c>
      <c r="P167" s="206">
        <v>44502.0</v>
      </c>
      <c r="Q167" s="184">
        <v>0.1</v>
      </c>
      <c r="R167" s="185">
        <f t="shared" si="19"/>
        <v>0.108</v>
      </c>
      <c r="S167" s="186">
        <f t="shared" si="32"/>
        <v>108</v>
      </c>
      <c r="T167" s="187">
        <f t="shared" si="33"/>
        <v>-10</v>
      </c>
      <c r="U167" s="188">
        <f t="shared" si="22"/>
        <v>98</v>
      </c>
      <c r="V167" s="189">
        <f t="shared" si="23"/>
        <v>0.009230769231</v>
      </c>
      <c r="W167" s="190" t="str">
        <f>IFERROR(__xludf.DUMMYFUNCTION("if(D167="""","""",SPLIT(INDEX(IMPORTHTML(concatenate(""https://finance.yahoo.com/quote/"",D167),""table"",2),6,2),"" ""))"),"#REF!")</f>
        <v>#REF!</v>
      </c>
      <c r="X167" s="191"/>
      <c r="Y167" s="189" t="str">
        <f t="shared" si="24"/>
        <v/>
      </c>
      <c r="Z167" s="191" t="str">
        <f t="shared" si="8"/>
        <v/>
      </c>
      <c r="AA167" s="191">
        <f t="shared" si="9"/>
        <v>5</v>
      </c>
      <c r="AB167" s="70"/>
      <c r="AC167" s="175"/>
      <c r="AD167" s="177"/>
      <c r="AE167" s="175"/>
      <c r="AF167" s="180"/>
      <c r="AG167" s="180"/>
      <c r="AH167" s="180"/>
      <c r="AI167" s="180"/>
      <c r="AJ167" s="180"/>
      <c r="AK167" s="180" t="str">
        <f t="shared" si="34"/>
        <v/>
      </c>
      <c r="AL167" s="72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</row>
    <row r="168" ht="18.0" customHeight="1">
      <c r="A168" s="6"/>
      <c r="B168" s="217">
        <v>44498.0</v>
      </c>
      <c r="C168" s="176" t="s">
        <v>75</v>
      </c>
      <c r="D168" s="176" t="s">
        <v>88</v>
      </c>
      <c r="E168" s="176" t="s">
        <v>82</v>
      </c>
      <c r="F168" s="176" t="s">
        <v>27</v>
      </c>
      <c r="G168" s="216">
        <v>44505.0</v>
      </c>
      <c r="H168" s="179">
        <f>IFERROR(__xludf.DUMMYFUNCTION("GOOGLEFINANCE(D168,""price"")"),46.83)</f>
        <v>46.83</v>
      </c>
      <c r="I168" s="201">
        <v>145.0</v>
      </c>
      <c r="J168" s="181"/>
      <c r="K168" s="181"/>
      <c r="L168" s="181" t="str">
        <f t="shared" si="18"/>
        <v>Option Closed</v>
      </c>
      <c r="M168" s="212">
        <v>3.0</v>
      </c>
      <c r="N168" s="201">
        <v>2.0</v>
      </c>
      <c r="O168" s="183" t="s">
        <v>45</v>
      </c>
      <c r="P168" s="206">
        <v>44503.0</v>
      </c>
      <c r="Q168" s="184">
        <v>0.25</v>
      </c>
      <c r="R168" s="185">
        <f t="shared" si="19"/>
        <v>0.2</v>
      </c>
      <c r="S168" s="186">
        <f t="shared" si="32"/>
        <v>600</v>
      </c>
      <c r="T168" s="187">
        <f t="shared" si="33"/>
        <v>-75</v>
      </c>
      <c r="U168" s="188">
        <f t="shared" si="22"/>
        <v>525</v>
      </c>
      <c r="V168" s="189">
        <f t="shared" si="23"/>
        <v>0.01379310345</v>
      </c>
      <c r="W168" s="190" t="str">
        <f>IFERROR(__xludf.DUMMYFUNCTION("if(D168="""","""",SPLIT(INDEX(IMPORTHTML(concatenate(""https://finance.yahoo.com/quote/"",D168),""table"",2),6,2),"" ""))"),"#REF!")</f>
        <v>#REF!</v>
      </c>
      <c r="X168" s="191"/>
      <c r="Y168" s="189" t="str">
        <f t="shared" si="24"/>
        <v/>
      </c>
      <c r="Z168" s="191" t="str">
        <f t="shared" si="8"/>
        <v/>
      </c>
      <c r="AA168" s="191">
        <f t="shared" si="9"/>
        <v>5</v>
      </c>
      <c r="AB168" s="70"/>
      <c r="AC168" s="175"/>
      <c r="AD168" s="177"/>
      <c r="AE168" s="175"/>
      <c r="AF168" s="180"/>
      <c r="AG168" s="180"/>
      <c r="AH168" s="180"/>
      <c r="AI168" s="180"/>
      <c r="AJ168" s="180"/>
      <c r="AK168" s="180" t="str">
        <f t="shared" si="34"/>
        <v/>
      </c>
      <c r="AL168" s="72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</row>
    <row r="169" ht="18.0" customHeight="1">
      <c r="A169" s="6"/>
      <c r="B169" s="217">
        <v>44498.0</v>
      </c>
      <c r="C169" s="176" t="s">
        <v>75</v>
      </c>
      <c r="D169" s="176" t="s">
        <v>76</v>
      </c>
      <c r="E169" s="176" t="s">
        <v>82</v>
      </c>
      <c r="F169" s="176" t="s">
        <v>27</v>
      </c>
      <c r="G169" s="216">
        <v>44505.0</v>
      </c>
      <c r="H169" s="179">
        <f>IFERROR(__xludf.DUMMYFUNCTION("GOOGLEFINANCE(D169,""price"")"),7.53)</f>
        <v>7.53</v>
      </c>
      <c r="I169" s="201">
        <v>119.5</v>
      </c>
      <c r="J169" s="181"/>
      <c r="K169" s="181"/>
      <c r="L169" s="181" t="str">
        <f t="shared" si="18"/>
        <v>Option Closed</v>
      </c>
      <c r="M169" s="212">
        <v>2.0</v>
      </c>
      <c r="N169" s="201">
        <v>1.75</v>
      </c>
      <c r="O169" s="183" t="s">
        <v>86</v>
      </c>
      <c r="P169" s="206"/>
      <c r="Q169" s="184"/>
      <c r="R169" s="185">
        <f t="shared" si="19"/>
        <v>0.175</v>
      </c>
      <c r="S169" s="186">
        <f t="shared" si="32"/>
        <v>350</v>
      </c>
      <c r="T169" s="187">
        <f t="shared" si="33"/>
        <v>0</v>
      </c>
      <c r="U169" s="188">
        <f t="shared" si="22"/>
        <v>350</v>
      </c>
      <c r="V169" s="189">
        <f t="shared" si="23"/>
        <v>0.01464435146</v>
      </c>
      <c r="W169" s="190" t="str">
        <f>IFERROR(__xludf.DUMMYFUNCTION("if(D169="""","""",SPLIT(INDEX(IMPORTHTML(concatenate(""https://finance.yahoo.com/quote/"",D169),""table"",2),6,2),"" ""))"),"#REF!")</f>
        <v>#REF!</v>
      </c>
      <c r="X169" s="191"/>
      <c r="Y169" s="189" t="str">
        <f t="shared" si="24"/>
        <v/>
      </c>
      <c r="Z169" s="191" t="str">
        <f t="shared" si="8"/>
        <v/>
      </c>
      <c r="AA169" s="191">
        <f t="shared" si="9"/>
        <v>7</v>
      </c>
      <c r="AB169" s="70"/>
      <c r="AC169" s="175"/>
      <c r="AD169" s="177"/>
      <c r="AE169" s="175"/>
      <c r="AF169" s="180"/>
      <c r="AG169" s="180"/>
      <c r="AH169" s="180"/>
      <c r="AI169" s="180"/>
      <c r="AJ169" s="180"/>
      <c r="AK169" s="180" t="str">
        <f t="shared" si="34"/>
        <v/>
      </c>
      <c r="AL169" s="72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</row>
    <row r="170" ht="18.0" customHeight="1">
      <c r="A170" s="6"/>
      <c r="B170" s="217">
        <v>44498.0</v>
      </c>
      <c r="C170" s="176" t="s">
        <v>75</v>
      </c>
      <c r="D170" s="176" t="s">
        <v>77</v>
      </c>
      <c r="E170" s="176" t="s">
        <v>82</v>
      </c>
      <c r="F170" s="176" t="s">
        <v>27</v>
      </c>
      <c r="G170" s="216">
        <v>44505.0</v>
      </c>
      <c r="H170" s="179">
        <f>IFERROR(__xludf.DUMMYFUNCTION("GOOGLEFINANCE(D170,""price"")"),8.76)</f>
        <v>8.76</v>
      </c>
      <c r="I170" s="201">
        <v>49.5</v>
      </c>
      <c r="J170" s="181"/>
      <c r="K170" s="181"/>
      <c r="L170" s="181" t="str">
        <f t="shared" si="18"/>
        <v>Option Closed</v>
      </c>
      <c r="M170" s="212">
        <v>5.0</v>
      </c>
      <c r="N170" s="201">
        <v>1.8</v>
      </c>
      <c r="O170" s="183" t="s">
        <v>45</v>
      </c>
      <c r="P170" s="206">
        <v>44502.0</v>
      </c>
      <c r="Q170" s="184">
        <v>0.1</v>
      </c>
      <c r="R170" s="185">
        <f t="shared" si="19"/>
        <v>0.18</v>
      </c>
      <c r="S170" s="186">
        <f t="shared" si="32"/>
        <v>900</v>
      </c>
      <c r="T170" s="187">
        <f t="shared" si="33"/>
        <v>-50</v>
      </c>
      <c r="U170" s="188">
        <f t="shared" si="22"/>
        <v>850</v>
      </c>
      <c r="V170" s="189">
        <f t="shared" si="23"/>
        <v>0.03636363636</v>
      </c>
      <c r="W170" s="190" t="str">
        <f>IFERROR(__xludf.DUMMYFUNCTION("if(D170="""","""",SPLIT(INDEX(IMPORTHTML(concatenate(""https://finance.yahoo.com/quote/"",D170),""table"",2),6,2),"" ""))"),"#REF!")</f>
        <v>#REF!</v>
      </c>
      <c r="X170" s="191"/>
      <c r="Y170" s="189" t="str">
        <f t="shared" si="24"/>
        <v/>
      </c>
      <c r="Z170" s="191" t="str">
        <f t="shared" si="8"/>
        <v/>
      </c>
      <c r="AA170" s="191">
        <f t="shared" si="9"/>
        <v>4</v>
      </c>
      <c r="AB170" s="70"/>
      <c r="AC170" s="175"/>
      <c r="AD170" s="177"/>
      <c r="AE170" s="175"/>
      <c r="AF170" s="180"/>
      <c r="AG170" s="180"/>
      <c r="AH170" s="180"/>
      <c r="AI170" s="180"/>
      <c r="AJ170" s="180"/>
      <c r="AK170" s="180" t="str">
        <f t="shared" si="34"/>
        <v/>
      </c>
      <c r="AL170" s="72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</row>
    <row r="171" ht="18.0" customHeight="1">
      <c r="A171" s="6"/>
      <c r="B171" s="206">
        <v>44501.0</v>
      </c>
      <c r="C171" s="176" t="s">
        <v>75</v>
      </c>
      <c r="D171" s="176" t="s">
        <v>79</v>
      </c>
      <c r="E171" s="176" t="s">
        <v>26</v>
      </c>
      <c r="F171" s="176" t="s">
        <v>27</v>
      </c>
      <c r="G171" s="217">
        <v>44505.0</v>
      </c>
      <c r="H171" s="179">
        <f>IFERROR(__xludf.DUMMYFUNCTION("GOOGLEFINANCE(D171,""price"")"),5.55)</f>
        <v>5.55</v>
      </c>
      <c r="I171" s="201">
        <v>44.0</v>
      </c>
      <c r="J171" s="181"/>
      <c r="K171" s="181"/>
      <c r="L171" s="181" t="str">
        <f t="shared" si="18"/>
        <v>Option Closed</v>
      </c>
      <c r="M171" s="212">
        <v>2.0</v>
      </c>
      <c r="N171" s="201">
        <v>2.0</v>
      </c>
      <c r="O171" s="183" t="s">
        <v>86</v>
      </c>
      <c r="P171" s="206"/>
      <c r="Q171" s="184"/>
      <c r="R171" s="185">
        <f t="shared" si="19"/>
        <v>0.2</v>
      </c>
      <c r="S171" s="186">
        <f t="shared" si="32"/>
        <v>400</v>
      </c>
      <c r="T171" s="187">
        <f t="shared" si="33"/>
        <v>0</v>
      </c>
      <c r="U171" s="188">
        <f t="shared" si="22"/>
        <v>400</v>
      </c>
      <c r="V171" s="189">
        <f t="shared" si="23"/>
        <v>0.04545454545</v>
      </c>
      <c r="W171" s="190" t="str">
        <f>IFERROR(__xludf.DUMMYFUNCTION("if(D171="""","""",SPLIT(INDEX(IMPORTHTML(concatenate(""https://finance.yahoo.com/quote/"",D171),""table"",2),6,2),"" ""))"),"#REF!")</f>
        <v>#REF!</v>
      </c>
      <c r="X171" s="191"/>
      <c r="Y171" s="189" t="str">
        <f t="shared" si="24"/>
        <v/>
      </c>
      <c r="Z171" s="191" t="str">
        <f t="shared" si="8"/>
        <v/>
      </c>
      <c r="AA171" s="191">
        <f t="shared" si="9"/>
        <v>4</v>
      </c>
      <c r="AB171" s="70"/>
      <c r="AC171" s="175"/>
      <c r="AD171" s="177"/>
      <c r="AE171" s="175"/>
      <c r="AF171" s="180"/>
      <c r="AG171" s="180"/>
      <c r="AH171" s="180"/>
      <c r="AI171" s="180"/>
      <c r="AJ171" s="180"/>
      <c r="AK171" s="180" t="str">
        <f t="shared" si="34"/>
        <v/>
      </c>
      <c r="AL171" s="72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</row>
    <row r="172" ht="18.0" customHeight="1">
      <c r="A172" s="6"/>
      <c r="B172" s="217">
        <v>44504.0</v>
      </c>
      <c r="C172" s="176" t="s">
        <v>75</v>
      </c>
      <c r="D172" s="176" t="s">
        <v>76</v>
      </c>
      <c r="E172" s="176" t="s">
        <v>82</v>
      </c>
      <c r="F172" s="176" t="s">
        <v>27</v>
      </c>
      <c r="G172" s="216">
        <v>44512.0</v>
      </c>
      <c r="H172" s="179">
        <f>IFERROR(__xludf.DUMMYFUNCTION("GOOGLEFINANCE(D172,""price"")"),7.53)</f>
        <v>7.53</v>
      </c>
      <c r="I172" s="201">
        <v>123.0</v>
      </c>
      <c r="J172" s="181"/>
      <c r="K172" s="181"/>
      <c r="L172" s="181" t="str">
        <f t="shared" si="18"/>
        <v>Option Closed</v>
      </c>
      <c r="M172" s="212">
        <v>2.0</v>
      </c>
      <c r="N172" s="201">
        <v>2.0</v>
      </c>
      <c r="O172" s="183" t="s">
        <v>83</v>
      </c>
      <c r="P172" s="206"/>
      <c r="Q172" s="184"/>
      <c r="R172" s="185">
        <f t="shared" si="19"/>
        <v>0.2</v>
      </c>
      <c r="S172" s="186">
        <f t="shared" si="32"/>
        <v>400</v>
      </c>
      <c r="T172" s="187">
        <f t="shared" si="33"/>
        <v>0</v>
      </c>
      <c r="U172" s="188">
        <f t="shared" si="22"/>
        <v>400</v>
      </c>
      <c r="V172" s="189">
        <f t="shared" si="23"/>
        <v>0.0162601626</v>
      </c>
      <c r="W172" s="190" t="str">
        <f>IFERROR(__xludf.DUMMYFUNCTION("if(D172="""","""",SPLIT(INDEX(IMPORTHTML(concatenate(""https://finance.yahoo.com/quote/"",D172),""table"",2),6,2),"" ""))"),"#REF!")</f>
        <v>#REF!</v>
      </c>
      <c r="X172" s="191"/>
      <c r="Y172" s="189" t="str">
        <f t="shared" si="24"/>
        <v/>
      </c>
      <c r="Z172" s="191" t="str">
        <f t="shared" si="8"/>
        <v/>
      </c>
      <c r="AA172" s="191">
        <f t="shared" si="9"/>
        <v>8</v>
      </c>
      <c r="AB172" s="70"/>
      <c r="AC172" s="175"/>
      <c r="AD172" s="177"/>
      <c r="AE172" s="175"/>
      <c r="AF172" s="180"/>
      <c r="AG172" s="180"/>
      <c r="AH172" s="180"/>
      <c r="AI172" s="180"/>
      <c r="AJ172" s="180"/>
      <c r="AK172" s="180" t="str">
        <f t="shared" si="34"/>
        <v/>
      </c>
      <c r="AL172" s="72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</row>
    <row r="173" ht="18.0" customHeight="1">
      <c r="A173" s="6"/>
      <c r="B173" s="217">
        <v>44504.0</v>
      </c>
      <c r="C173" s="176" t="s">
        <v>75</v>
      </c>
      <c r="D173" s="176" t="s">
        <v>77</v>
      </c>
      <c r="E173" s="176" t="s">
        <v>82</v>
      </c>
      <c r="F173" s="176" t="s">
        <v>27</v>
      </c>
      <c r="G173" s="216">
        <v>44512.0</v>
      </c>
      <c r="H173" s="179">
        <f>IFERROR(__xludf.DUMMYFUNCTION("GOOGLEFINANCE(D173,""price"")"),8.76)</f>
        <v>8.76</v>
      </c>
      <c r="I173" s="201">
        <v>57.0</v>
      </c>
      <c r="J173" s="181"/>
      <c r="K173" s="181"/>
      <c r="L173" s="181" t="str">
        <f t="shared" si="18"/>
        <v>Option Closed</v>
      </c>
      <c r="M173" s="212">
        <v>5.0</v>
      </c>
      <c r="N173" s="201">
        <v>2.05</v>
      </c>
      <c r="O173" s="183" t="s">
        <v>45</v>
      </c>
      <c r="P173" s="206">
        <v>44511.0</v>
      </c>
      <c r="Q173" s="184">
        <v>0.05</v>
      </c>
      <c r="R173" s="185">
        <f t="shared" si="19"/>
        <v>0.205</v>
      </c>
      <c r="S173" s="186">
        <f t="shared" si="32"/>
        <v>1025</v>
      </c>
      <c r="T173" s="187">
        <f t="shared" si="33"/>
        <v>-25</v>
      </c>
      <c r="U173" s="188">
        <f t="shared" si="22"/>
        <v>1000</v>
      </c>
      <c r="V173" s="189">
        <f t="shared" si="23"/>
        <v>0.03596491228</v>
      </c>
      <c r="W173" s="190" t="str">
        <f>IFERROR(__xludf.DUMMYFUNCTION("if(D173="""","""",SPLIT(INDEX(IMPORTHTML(concatenate(""https://finance.yahoo.com/quote/"",D173),""table"",2),6,2),"" ""))"),"#REF!")</f>
        <v>#REF!</v>
      </c>
      <c r="X173" s="191"/>
      <c r="Y173" s="189" t="str">
        <f t="shared" si="24"/>
        <v/>
      </c>
      <c r="Z173" s="191" t="str">
        <f t="shared" si="8"/>
        <v/>
      </c>
      <c r="AA173" s="191">
        <f t="shared" si="9"/>
        <v>7</v>
      </c>
      <c r="AB173" s="70"/>
      <c r="AC173" s="175"/>
      <c r="AD173" s="177"/>
      <c r="AE173" s="175"/>
      <c r="AF173" s="180"/>
      <c r="AG173" s="180"/>
      <c r="AH173" s="180"/>
      <c r="AI173" s="180"/>
      <c r="AJ173" s="180"/>
      <c r="AK173" s="180" t="str">
        <f t="shared" si="34"/>
        <v/>
      </c>
      <c r="AL173" s="72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</row>
    <row r="174" ht="18.0" customHeight="1">
      <c r="A174" s="6"/>
      <c r="B174" s="217">
        <v>44508.0</v>
      </c>
      <c r="C174" s="176" t="s">
        <v>75</v>
      </c>
      <c r="D174" s="176" t="s">
        <v>77</v>
      </c>
      <c r="E174" s="176" t="s">
        <v>82</v>
      </c>
      <c r="F174" s="176" t="s">
        <v>27</v>
      </c>
      <c r="G174" s="216">
        <v>44512.0</v>
      </c>
      <c r="H174" s="179">
        <f>IFERROR(__xludf.DUMMYFUNCTION("GOOGLEFINANCE(D174,""price"")"),8.76)</f>
        <v>8.76</v>
      </c>
      <c r="I174" s="201">
        <v>67.0</v>
      </c>
      <c r="J174" s="181"/>
      <c r="K174" s="181"/>
      <c r="L174" s="181" t="str">
        <f t="shared" si="18"/>
        <v>Option Closed</v>
      </c>
      <c r="M174" s="212">
        <v>2.0</v>
      </c>
      <c r="N174" s="201">
        <v>2.05</v>
      </c>
      <c r="O174" s="183" t="s">
        <v>45</v>
      </c>
      <c r="P174" s="206">
        <v>44511.0</v>
      </c>
      <c r="Q174" s="184">
        <v>0.4</v>
      </c>
      <c r="R174" s="185">
        <f t="shared" si="19"/>
        <v>0.205</v>
      </c>
      <c r="S174" s="186">
        <f t="shared" si="32"/>
        <v>410</v>
      </c>
      <c r="T174" s="187">
        <f t="shared" si="33"/>
        <v>-80</v>
      </c>
      <c r="U174" s="188">
        <f t="shared" si="22"/>
        <v>330</v>
      </c>
      <c r="V174" s="189">
        <f t="shared" si="23"/>
        <v>0.03059701493</v>
      </c>
      <c r="W174" s="190" t="str">
        <f>IFERROR(__xludf.DUMMYFUNCTION("if(D174="""","""",SPLIT(INDEX(IMPORTHTML(concatenate(""https://finance.yahoo.com/quote/"",D174),""table"",2),6,2),"" ""))"),"#REF!")</f>
        <v>#REF!</v>
      </c>
      <c r="X174" s="191"/>
      <c r="Y174" s="189" t="str">
        <f t="shared" si="24"/>
        <v/>
      </c>
      <c r="Z174" s="191" t="str">
        <f t="shared" si="8"/>
        <v/>
      </c>
      <c r="AA174" s="191">
        <f t="shared" si="9"/>
        <v>3</v>
      </c>
      <c r="AB174" s="70"/>
      <c r="AC174" s="175"/>
      <c r="AD174" s="177"/>
      <c r="AE174" s="175"/>
      <c r="AF174" s="180"/>
      <c r="AG174" s="180"/>
      <c r="AH174" s="180"/>
      <c r="AI174" s="180"/>
      <c r="AJ174" s="180"/>
      <c r="AK174" s="180" t="str">
        <f t="shared" si="34"/>
        <v/>
      </c>
      <c r="AL174" s="72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</row>
    <row r="175" ht="18.0" customHeight="1">
      <c r="A175" s="6"/>
      <c r="B175" s="217">
        <v>44508.0</v>
      </c>
      <c r="C175" s="176" t="s">
        <v>75</v>
      </c>
      <c r="D175" s="176" t="s">
        <v>88</v>
      </c>
      <c r="E175" s="176" t="s">
        <v>82</v>
      </c>
      <c r="F175" s="176" t="s">
        <v>27</v>
      </c>
      <c r="G175" s="216">
        <v>44512.0</v>
      </c>
      <c r="H175" s="179">
        <f>IFERROR(__xludf.DUMMYFUNCTION("GOOGLEFINANCE(D175,""price"")"),46.83)</f>
        <v>46.83</v>
      </c>
      <c r="I175" s="201">
        <v>161.0</v>
      </c>
      <c r="J175" s="181"/>
      <c r="K175" s="181"/>
      <c r="L175" s="181" t="str">
        <f t="shared" si="18"/>
        <v>Option Closed</v>
      </c>
      <c r="M175" s="212">
        <v>3.0</v>
      </c>
      <c r="N175" s="201">
        <v>2.0</v>
      </c>
      <c r="O175" s="183" t="s">
        <v>45</v>
      </c>
      <c r="P175" s="206">
        <v>44512.0</v>
      </c>
      <c r="Q175" s="184">
        <v>0.2</v>
      </c>
      <c r="R175" s="185">
        <f t="shared" si="19"/>
        <v>0.2</v>
      </c>
      <c r="S175" s="186">
        <f t="shared" si="32"/>
        <v>600</v>
      </c>
      <c r="T175" s="187">
        <f t="shared" si="33"/>
        <v>-60</v>
      </c>
      <c r="U175" s="188">
        <f t="shared" si="22"/>
        <v>540</v>
      </c>
      <c r="V175" s="189">
        <f t="shared" si="23"/>
        <v>0.01242236025</v>
      </c>
      <c r="W175" s="190" t="str">
        <f>IFERROR(__xludf.DUMMYFUNCTION("if(D175="""","""",SPLIT(INDEX(IMPORTHTML(concatenate(""https://finance.yahoo.com/quote/"",D175),""table"",2),6,2),"" ""))"),"#REF!")</f>
        <v>#REF!</v>
      </c>
      <c r="X175" s="191"/>
      <c r="Y175" s="189" t="str">
        <f t="shared" si="24"/>
        <v/>
      </c>
      <c r="Z175" s="191" t="str">
        <f t="shared" si="8"/>
        <v/>
      </c>
      <c r="AA175" s="191">
        <f t="shared" si="9"/>
        <v>4</v>
      </c>
      <c r="AB175" s="70"/>
      <c r="AC175" s="175"/>
      <c r="AD175" s="177"/>
      <c r="AE175" s="175"/>
      <c r="AF175" s="180"/>
      <c r="AG175" s="180"/>
      <c r="AH175" s="180"/>
      <c r="AI175" s="180"/>
      <c r="AJ175" s="180"/>
      <c r="AK175" s="180" t="str">
        <f t="shared" si="34"/>
        <v/>
      </c>
      <c r="AL175" s="72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</row>
    <row r="176" ht="18.0" customHeight="1">
      <c r="A176" s="6"/>
      <c r="B176" s="217">
        <v>44512.0</v>
      </c>
      <c r="C176" s="176" t="s">
        <v>75</v>
      </c>
      <c r="D176" s="176" t="s">
        <v>77</v>
      </c>
      <c r="E176" s="176" t="s">
        <v>82</v>
      </c>
      <c r="F176" s="176" t="s">
        <v>27</v>
      </c>
      <c r="G176" s="216">
        <v>44519.0</v>
      </c>
      <c r="H176" s="179">
        <f>IFERROR(__xludf.DUMMYFUNCTION("GOOGLEFINANCE(D176,""price"")"),8.76)</f>
        <v>8.76</v>
      </c>
      <c r="I176" s="201">
        <v>64.0</v>
      </c>
      <c r="J176" s="181"/>
      <c r="K176" s="181"/>
      <c r="L176" s="181" t="str">
        <f t="shared" si="18"/>
        <v>Option Closed</v>
      </c>
      <c r="M176" s="212">
        <v>5.0</v>
      </c>
      <c r="N176" s="201">
        <v>2.3</v>
      </c>
      <c r="O176" s="183" t="s">
        <v>45</v>
      </c>
      <c r="P176" s="206">
        <v>44515.0</v>
      </c>
      <c r="Q176" s="184">
        <v>2.9</v>
      </c>
      <c r="R176" s="185">
        <f t="shared" si="19"/>
        <v>0.23</v>
      </c>
      <c r="S176" s="186">
        <f t="shared" si="32"/>
        <v>1150</v>
      </c>
      <c r="T176" s="187">
        <f t="shared" si="33"/>
        <v>-1450</v>
      </c>
      <c r="U176" s="188">
        <f t="shared" si="22"/>
        <v>-300</v>
      </c>
      <c r="V176" s="189">
        <f t="shared" si="23"/>
        <v>0.0359375</v>
      </c>
      <c r="W176" s="190" t="str">
        <f>IFERROR(__xludf.DUMMYFUNCTION("if(D176="""","""",SPLIT(INDEX(IMPORTHTML(concatenate(""https://finance.yahoo.com/quote/"",D176),""table"",2),6,2),"" ""))"),"#REF!")</f>
        <v>#REF!</v>
      </c>
      <c r="X176" s="191"/>
      <c r="Y176" s="189" t="str">
        <f t="shared" si="24"/>
        <v/>
      </c>
      <c r="Z176" s="191" t="str">
        <f t="shared" si="8"/>
        <v/>
      </c>
      <c r="AA176" s="191">
        <f t="shared" si="9"/>
        <v>3</v>
      </c>
      <c r="AB176" s="70"/>
      <c r="AC176" s="175"/>
      <c r="AD176" s="177"/>
      <c r="AE176" s="175"/>
      <c r="AF176" s="180"/>
      <c r="AG176" s="180"/>
      <c r="AH176" s="180"/>
      <c r="AI176" s="180"/>
      <c r="AJ176" s="180"/>
      <c r="AK176" s="180" t="str">
        <f t="shared" si="34"/>
        <v/>
      </c>
      <c r="AL176" s="72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</row>
    <row r="177" ht="18.0" customHeight="1">
      <c r="A177" s="6"/>
      <c r="B177" s="217">
        <v>44512.0</v>
      </c>
      <c r="C177" s="176" t="s">
        <v>75</v>
      </c>
      <c r="D177" s="176" t="s">
        <v>79</v>
      </c>
      <c r="E177" s="176" t="s">
        <v>26</v>
      </c>
      <c r="F177" s="176" t="s">
        <v>27</v>
      </c>
      <c r="G177" s="216">
        <v>44519.0</v>
      </c>
      <c r="H177" s="179">
        <f>IFERROR(__xludf.DUMMYFUNCTION("GOOGLEFINANCE(D177,""price"")"),5.55)</f>
        <v>5.55</v>
      </c>
      <c r="I177" s="201">
        <v>46.0</v>
      </c>
      <c r="J177" s="181"/>
      <c r="K177" s="181"/>
      <c r="L177" s="181" t="str">
        <f t="shared" si="18"/>
        <v>Option Closed</v>
      </c>
      <c r="M177" s="212">
        <v>2.0</v>
      </c>
      <c r="N177" s="201">
        <v>0.4</v>
      </c>
      <c r="O177" s="183" t="s">
        <v>86</v>
      </c>
      <c r="P177" s="206"/>
      <c r="Q177" s="184"/>
      <c r="R177" s="185">
        <f t="shared" si="19"/>
        <v>0.04</v>
      </c>
      <c r="S177" s="186">
        <f t="shared" si="32"/>
        <v>80</v>
      </c>
      <c r="T177" s="187">
        <f t="shared" si="33"/>
        <v>0</v>
      </c>
      <c r="U177" s="188">
        <f t="shared" si="22"/>
        <v>80</v>
      </c>
      <c r="V177" s="189">
        <f t="shared" si="23"/>
        <v>0.008695652174</v>
      </c>
      <c r="W177" s="190" t="str">
        <f>IFERROR(__xludf.DUMMYFUNCTION("if(D177="""","""",SPLIT(INDEX(IMPORTHTML(concatenate(""https://finance.yahoo.com/quote/"",D177),""table"",2),6,2),"" ""))"),"#REF!")</f>
        <v>#REF!</v>
      </c>
      <c r="X177" s="191"/>
      <c r="Y177" s="189" t="str">
        <f t="shared" si="24"/>
        <v/>
      </c>
      <c r="Z177" s="191" t="str">
        <f t="shared" si="8"/>
        <v/>
      </c>
      <c r="AA177" s="191">
        <f t="shared" si="9"/>
        <v>7</v>
      </c>
      <c r="AB177" s="70"/>
      <c r="AC177" s="175"/>
      <c r="AD177" s="177"/>
      <c r="AE177" s="175"/>
      <c r="AF177" s="180"/>
      <c r="AG177" s="180"/>
      <c r="AH177" s="180"/>
      <c r="AI177" s="180"/>
      <c r="AJ177" s="180"/>
      <c r="AK177" s="180" t="str">
        <f t="shared" si="34"/>
        <v/>
      </c>
      <c r="AL177" s="72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</row>
    <row r="178" ht="18.0" customHeight="1">
      <c r="A178" s="6"/>
      <c r="B178" s="217">
        <v>44515.0</v>
      </c>
      <c r="C178" s="176" t="s">
        <v>75</v>
      </c>
      <c r="D178" s="176" t="s">
        <v>88</v>
      </c>
      <c r="E178" s="176" t="s">
        <v>82</v>
      </c>
      <c r="F178" s="176" t="s">
        <v>27</v>
      </c>
      <c r="G178" s="216">
        <v>44519.0</v>
      </c>
      <c r="H178" s="179">
        <f>IFERROR(__xludf.DUMMYFUNCTION("GOOGLEFINANCE(D178,""price"")"),46.83)</f>
        <v>46.83</v>
      </c>
      <c r="I178" s="201">
        <v>159.0</v>
      </c>
      <c r="J178" s="181"/>
      <c r="K178" s="181"/>
      <c r="L178" s="181" t="str">
        <f t="shared" si="18"/>
        <v>Option Closed</v>
      </c>
      <c r="M178" s="212">
        <v>2.0</v>
      </c>
      <c r="N178" s="201">
        <v>2.0</v>
      </c>
      <c r="O178" s="183" t="s">
        <v>45</v>
      </c>
      <c r="P178" s="206">
        <v>44516.0</v>
      </c>
      <c r="Q178" s="184">
        <v>0.7</v>
      </c>
      <c r="R178" s="185">
        <f t="shared" si="19"/>
        <v>0.2</v>
      </c>
      <c r="S178" s="186">
        <f t="shared" si="32"/>
        <v>400</v>
      </c>
      <c r="T178" s="187">
        <f t="shared" si="33"/>
        <v>-140</v>
      </c>
      <c r="U178" s="188">
        <f t="shared" si="22"/>
        <v>260</v>
      </c>
      <c r="V178" s="189">
        <f t="shared" si="23"/>
        <v>0.01257861635</v>
      </c>
      <c r="W178" s="190" t="str">
        <f>IFERROR(__xludf.DUMMYFUNCTION("if(D178="""","""",SPLIT(INDEX(IMPORTHTML(concatenate(""https://finance.yahoo.com/quote/"",D178),""table"",2),6,2),"" ""))"),"#REF!")</f>
        <v>#REF!</v>
      </c>
      <c r="X178" s="191"/>
      <c r="Y178" s="189" t="str">
        <f t="shared" si="24"/>
        <v/>
      </c>
      <c r="Z178" s="191" t="str">
        <f t="shared" si="8"/>
        <v/>
      </c>
      <c r="AA178" s="191">
        <f t="shared" si="9"/>
        <v>1</v>
      </c>
      <c r="AB178" s="70"/>
      <c r="AC178" s="175"/>
      <c r="AD178" s="177"/>
      <c r="AE178" s="175"/>
      <c r="AF178" s="180"/>
      <c r="AG178" s="180"/>
      <c r="AH178" s="180"/>
      <c r="AI178" s="180"/>
      <c r="AJ178" s="180"/>
      <c r="AK178" s="180" t="str">
        <f t="shared" si="34"/>
        <v/>
      </c>
      <c r="AL178" s="72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</row>
    <row r="179" ht="18.0" customHeight="1">
      <c r="A179" s="6"/>
      <c r="B179" s="217">
        <v>44523.0</v>
      </c>
      <c r="C179" s="176" t="s">
        <v>75</v>
      </c>
      <c r="D179" s="176" t="s">
        <v>88</v>
      </c>
      <c r="E179" s="176" t="s">
        <v>82</v>
      </c>
      <c r="F179" s="176" t="s">
        <v>27</v>
      </c>
      <c r="G179" s="216">
        <v>44526.0</v>
      </c>
      <c r="H179" s="179">
        <f>IFERROR(__xludf.DUMMYFUNCTION("GOOGLEFINANCE(D179,""price"")"),46.83)</f>
        <v>46.83</v>
      </c>
      <c r="I179" s="201">
        <v>166.0</v>
      </c>
      <c r="J179" s="181"/>
      <c r="K179" s="181"/>
      <c r="L179" s="181" t="str">
        <f t="shared" si="18"/>
        <v>Option Closed</v>
      </c>
      <c r="M179" s="212">
        <v>3.0</v>
      </c>
      <c r="N179" s="201">
        <v>2.0</v>
      </c>
      <c r="O179" s="183" t="s">
        <v>83</v>
      </c>
      <c r="P179" s="206">
        <v>44526.0</v>
      </c>
      <c r="Q179" s="184"/>
      <c r="R179" s="185">
        <f t="shared" si="19"/>
        <v>0.2</v>
      </c>
      <c r="S179" s="186">
        <f t="shared" si="32"/>
        <v>600</v>
      </c>
      <c r="T179" s="187">
        <f t="shared" si="33"/>
        <v>0</v>
      </c>
      <c r="U179" s="188">
        <f t="shared" si="22"/>
        <v>600</v>
      </c>
      <c r="V179" s="189">
        <f t="shared" si="23"/>
        <v>0.01204819277</v>
      </c>
      <c r="W179" s="190" t="str">
        <f>IFERROR(__xludf.DUMMYFUNCTION("if(D179="""","""",SPLIT(INDEX(IMPORTHTML(concatenate(""https://finance.yahoo.com/quote/"",D179),""table"",2),6,2),"" ""))"),"#REF!")</f>
        <v>#REF!</v>
      </c>
      <c r="X179" s="191"/>
      <c r="Y179" s="189" t="str">
        <f t="shared" si="24"/>
        <v/>
      </c>
      <c r="Z179" s="191" t="str">
        <f t="shared" si="8"/>
        <v/>
      </c>
      <c r="AA179" s="191">
        <f t="shared" si="9"/>
        <v>3</v>
      </c>
      <c r="AB179" s="70"/>
      <c r="AC179" s="175"/>
      <c r="AD179" s="177"/>
      <c r="AE179" s="175"/>
      <c r="AF179" s="180"/>
      <c r="AG179" s="180"/>
      <c r="AH179" s="180"/>
      <c r="AI179" s="180"/>
      <c r="AJ179" s="180"/>
      <c r="AK179" s="180" t="str">
        <f t="shared" si="34"/>
        <v/>
      </c>
      <c r="AL179" s="72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</row>
    <row r="180" ht="18.0" customHeight="1">
      <c r="A180" s="6"/>
      <c r="B180" s="217">
        <v>44529.0</v>
      </c>
      <c r="C180" s="176" t="s">
        <v>75</v>
      </c>
      <c r="D180" s="176" t="s">
        <v>88</v>
      </c>
      <c r="E180" s="176" t="s">
        <v>26</v>
      </c>
      <c r="F180" s="176" t="s">
        <v>27</v>
      </c>
      <c r="G180" s="216">
        <v>44533.0</v>
      </c>
      <c r="H180" s="179">
        <f>IFERROR(__xludf.DUMMYFUNCTION("GOOGLEFINANCE(D180,""price"")"),46.83)</f>
        <v>46.83</v>
      </c>
      <c r="I180" s="201">
        <v>174.0</v>
      </c>
      <c r="J180" s="181"/>
      <c r="K180" s="181"/>
      <c r="L180" s="181" t="str">
        <f t="shared" si="18"/>
        <v>Option Closed</v>
      </c>
      <c r="M180" s="212">
        <v>3.0</v>
      </c>
      <c r="N180" s="201">
        <v>1.0</v>
      </c>
      <c r="O180" s="183" t="s">
        <v>86</v>
      </c>
      <c r="P180" s="206"/>
      <c r="Q180" s="184"/>
      <c r="R180" s="185">
        <f t="shared" si="19"/>
        <v>0.1</v>
      </c>
      <c r="S180" s="186">
        <f t="shared" si="32"/>
        <v>300</v>
      </c>
      <c r="T180" s="187">
        <f t="shared" si="33"/>
        <v>0</v>
      </c>
      <c r="U180" s="188">
        <f t="shared" si="22"/>
        <v>300</v>
      </c>
      <c r="V180" s="189">
        <f t="shared" si="23"/>
        <v>0.005747126437</v>
      </c>
      <c r="W180" s="190" t="str">
        <f>IFERROR(__xludf.DUMMYFUNCTION("if(D180="""","""",SPLIT(INDEX(IMPORTHTML(concatenate(""https://finance.yahoo.com/quote/"",D180),""table"",2),6,2),"" ""))"),"#REF!")</f>
        <v>#REF!</v>
      </c>
      <c r="X180" s="191"/>
      <c r="Y180" s="189" t="str">
        <f t="shared" si="24"/>
        <v/>
      </c>
      <c r="Z180" s="191" t="str">
        <f t="shared" si="8"/>
        <v/>
      </c>
      <c r="AA180" s="191">
        <f t="shared" si="9"/>
        <v>4</v>
      </c>
      <c r="AB180" s="70"/>
      <c r="AC180" s="175"/>
      <c r="AD180" s="177"/>
      <c r="AE180" s="175"/>
      <c r="AF180" s="180"/>
      <c r="AG180" s="180"/>
      <c r="AH180" s="180"/>
      <c r="AI180" s="180"/>
      <c r="AJ180" s="180"/>
      <c r="AK180" s="180" t="str">
        <f t="shared" si="34"/>
        <v/>
      </c>
      <c r="AL180" s="72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</row>
    <row r="181" ht="18.0" customHeight="1">
      <c r="A181" s="6"/>
      <c r="B181" s="217">
        <v>44536.0</v>
      </c>
      <c r="C181" s="176" t="s">
        <v>75</v>
      </c>
      <c r="D181" s="176" t="s">
        <v>88</v>
      </c>
      <c r="E181" s="176" t="s">
        <v>26</v>
      </c>
      <c r="F181" s="176" t="s">
        <v>27</v>
      </c>
      <c r="G181" s="216">
        <v>44540.0</v>
      </c>
      <c r="H181" s="179">
        <f>IFERROR(__xludf.DUMMYFUNCTION("GOOGLEFINANCE(D181,""price"")"),46.83)</f>
        <v>46.83</v>
      </c>
      <c r="I181" s="201">
        <v>173.0</v>
      </c>
      <c r="J181" s="181"/>
      <c r="K181" s="181"/>
      <c r="L181" s="181" t="str">
        <f t="shared" si="18"/>
        <v>Option Closed</v>
      </c>
      <c r="M181" s="212">
        <v>3.0</v>
      </c>
      <c r="N181" s="201">
        <v>0.42</v>
      </c>
      <c r="O181" s="183" t="s">
        <v>86</v>
      </c>
      <c r="P181" s="206"/>
      <c r="Q181" s="184"/>
      <c r="R181" s="185">
        <f t="shared" si="19"/>
        <v>0.042</v>
      </c>
      <c r="S181" s="186">
        <f t="shared" si="32"/>
        <v>126</v>
      </c>
      <c r="T181" s="187">
        <f t="shared" si="33"/>
        <v>0</v>
      </c>
      <c r="U181" s="188">
        <f t="shared" si="22"/>
        <v>126</v>
      </c>
      <c r="V181" s="189">
        <f t="shared" si="23"/>
        <v>0.002427745665</v>
      </c>
      <c r="W181" s="190" t="str">
        <f>IFERROR(__xludf.DUMMYFUNCTION("if(D181="""","""",SPLIT(INDEX(IMPORTHTML(concatenate(""https://finance.yahoo.com/quote/"",D181),""table"",2),6,2),"" ""))"),"#REF!")</f>
        <v>#REF!</v>
      </c>
      <c r="X181" s="191"/>
      <c r="Y181" s="189" t="str">
        <f t="shared" si="24"/>
        <v/>
      </c>
      <c r="Z181" s="191" t="str">
        <f t="shared" si="8"/>
        <v/>
      </c>
      <c r="AA181" s="191">
        <f t="shared" si="9"/>
        <v>4</v>
      </c>
      <c r="AB181" s="70"/>
      <c r="AC181" s="175"/>
      <c r="AD181" s="177"/>
      <c r="AE181" s="175"/>
      <c r="AF181" s="180"/>
      <c r="AG181" s="180"/>
      <c r="AH181" s="180"/>
      <c r="AI181" s="180"/>
      <c r="AJ181" s="180"/>
      <c r="AK181" s="180" t="str">
        <f t="shared" si="34"/>
        <v/>
      </c>
      <c r="AL181" s="72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</row>
    <row r="182" ht="18.0" customHeight="1">
      <c r="A182" s="6"/>
      <c r="B182" s="217">
        <v>44540.0</v>
      </c>
      <c r="C182" s="176" t="s">
        <v>75</v>
      </c>
      <c r="D182" s="176" t="s">
        <v>88</v>
      </c>
      <c r="E182" s="176" t="s">
        <v>26</v>
      </c>
      <c r="F182" s="176" t="s">
        <v>27</v>
      </c>
      <c r="G182" s="216">
        <v>44547.0</v>
      </c>
      <c r="H182" s="179">
        <f>IFERROR(__xludf.DUMMYFUNCTION("GOOGLEFINANCE(D182,""price"")"),46.83)</f>
        <v>46.83</v>
      </c>
      <c r="I182" s="201">
        <v>177.0</v>
      </c>
      <c r="J182" s="181"/>
      <c r="K182" s="181"/>
      <c r="L182" s="181" t="str">
        <f t="shared" si="18"/>
        <v>Option Closed</v>
      </c>
      <c r="M182" s="212">
        <v>3.0</v>
      </c>
      <c r="N182" s="201">
        <v>1.25</v>
      </c>
      <c r="O182" s="183" t="s">
        <v>86</v>
      </c>
      <c r="P182" s="206"/>
      <c r="Q182" s="184"/>
      <c r="R182" s="185">
        <f t="shared" ref="R182:R223" si="35">if(N182="","",N182*(1-$T$2))</f>
        <v>0.125</v>
      </c>
      <c r="S182" s="186">
        <f t="shared" ref="S182:S223" si="36">IF(B182="","",IF(AND(E182="Stock",F182="Buy"),(100*((M182*N182)*-1)),IF(AND(E182="Call",F182="Buy"),(100*((M182*N182)*-1)),IF(AND(E182="PUT",F182="Buy"),(100*((M182*N182)*-1)),100*(M182*N182)))))</f>
        <v>375</v>
      </c>
      <c r="T182" s="187">
        <f t="shared" ref="T182:T223" si="37">IF(B182="","",IF(AND(E182="Stock",F182="Buy"),(100*((M182*Q182)*1)),IF(AND(E182="Call",F182="Buy"),(100*((M182*Q182)*1)),IF(AND(E182="PUT",F182="Buy"),(100*((M182*Q182)*1)),(100*(M182*Q182))*-1))))</f>
        <v>0</v>
      </c>
      <c r="U182" s="188">
        <f t="shared" si="22"/>
        <v>375</v>
      </c>
      <c r="V182" s="189">
        <f t="shared" si="23"/>
        <v>0.007062146893</v>
      </c>
      <c r="W182" s="190" t="str">
        <f t="shared" ref="W182:W328" si="38">if(iserror(U182/F182),"",U182/F182)</f>
        <v/>
      </c>
      <c r="X182" s="191" t="str">
        <f t="shared" ref="X182:X223" si="39">if(E182-today()&lt;0,"",E182-today())</f>
        <v>#VALUE!</v>
      </c>
      <c r="Y182" s="189" t="str">
        <f t="shared" ref="Y182:Y223" si="40">IF(AND(#REF!="",N182=""),"",IF(N182="",TODAY()-#REF!,N182-#REF!))</f>
        <v>#REF!</v>
      </c>
      <c r="Z182" s="191" t="str">
        <f t="shared" si="8"/>
        <v/>
      </c>
      <c r="AA182" s="191">
        <f t="shared" si="9"/>
        <v>7</v>
      </c>
      <c r="AB182" s="70"/>
      <c r="AC182" s="175"/>
      <c r="AD182" s="177"/>
      <c r="AE182" s="175"/>
      <c r="AF182" s="180"/>
      <c r="AG182" s="180"/>
      <c r="AH182" s="180"/>
      <c r="AI182" s="180" t="str">
        <f t="shared" ref="AI182:AI223" si="41">IF(AC182="","",(AC182*AD182)*-1)</f>
        <v/>
      </c>
      <c r="AJ182" s="180"/>
      <c r="AK182" s="180"/>
      <c r="AL182" s="72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</row>
    <row r="183" ht="18.0" customHeight="1">
      <c r="A183" s="6"/>
      <c r="B183" s="217">
        <v>44547.0</v>
      </c>
      <c r="C183" s="176" t="s">
        <v>75</v>
      </c>
      <c r="D183" s="176" t="s">
        <v>88</v>
      </c>
      <c r="E183" s="176" t="s">
        <v>26</v>
      </c>
      <c r="F183" s="176" t="s">
        <v>27</v>
      </c>
      <c r="G183" s="216">
        <v>44553.0</v>
      </c>
      <c r="H183" s="179">
        <f>IFERROR(__xludf.DUMMYFUNCTION("GOOGLEFINANCE(D183,""price"")"),46.83)</f>
        <v>46.83</v>
      </c>
      <c r="I183" s="201">
        <v>171.0</v>
      </c>
      <c r="J183" s="181"/>
      <c r="K183" s="181"/>
      <c r="L183" s="181" t="str">
        <f t="shared" si="18"/>
        <v>Option Closed</v>
      </c>
      <c r="M183" s="212">
        <v>3.0</v>
      </c>
      <c r="N183" s="201">
        <v>1.4</v>
      </c>
      <c r="O183" s="183" t="s">
        <v>86</v>
      </c>
      <c r="P183" s="206"/>
      <c r="Q183" s="184"/>
      <c r="R183" s="185">
        <f t="shared" si="35"/>
        <v>0.14</v>
      </c>
      <c r="S183" s="186">
        <f t="shared" si="36"/>
        <v>420</v>
      </c>
      <c r="T183" s="187">
        <f t="shared" si="37"/>
        <v>0</v>
      </c>
      <c r="U183" s="188">
        <f t="shared" si="22"/>
        <v>420</v>
      </c>
      <c r="V183" s="189">
        <f t="shared" si="23"/>
        <v>0.008187134503</v>
      </c>
      <c r="W183" s="190" t="str">
        <f t="shared" si="38"/>
        <v/>
      </c>
      <c r="X183" s="191" t="str">
        <f t="shared" si="39"/>
        <v>#VALUE!</v>
      </c>
      <c r="Y183" s="189" t="str">
        <f t="shared" si="40"/>
        <v>#REF!</v>
      </c>
      <c r="Z183" s="191" t="str">
        <f t="shared" si="8"/>
        <v/>
      </c>
      <c r="AA183" s="191">
        <f t="shared" si="9"/>
        <v>6</v>
      </c>
      <c r="AB183" s="70"/>
      <c r="AC183" s="175"/>
      <c r="AD183" s="177"/>
      <c r="AE183" s="175"/>
      <c r="AF183" s="180"/>
      <c r="AG183" s="180"/>
      <c r="AH183" s="180"/>
      <c r="AI183" s="180" t="str">
        <f t="shared" si="41"/>
        <v/>
      </c>
      <c r="AJ183" s="180"/>
      <c r="AK183" s="180"/>
      <c r="AL183" s="72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</row>
    <row r="184" ht="18.0" customHeight="1">
      <c r="A184" s="6"/>
      <c r="B184" s="217">
        <v>44553.0</v>
      </c>
      <c r="C184" s="176" t="s">
        <v>75</v>
      </c>
      <c r="D184" s="176" t="s">
        <v>88</v>
      </c>
      <c r="E184" s="176" t="s">
        <v>26</v>
      </c>
      <c r="F184" s="176" t="s">
        <v>27</v>
      </c>
      <c r="G184" s="216">
        <v>44560.0</v>
      </c>
      <c r="H184" s="179">
        <f>IFERROR(__xludf.DUMMYFUNCTION("GOOGLEFINANCE(D184,""price"")"),46.83)</f>
        <v>46.83</v>
      </c>
      <c r="I184" s="201">
        <v>170.0</v>
      </c>
      <c r="J184" s="181"/>
      <c r="K184" s="181"/>
      <c r="L184" s="181" t="str">
        <f t="shared" si="18"/>
        <v>Option Closed</v>
      </c>
      <c r="M184" s="212">
        <v>3.0</v>
      </c>
      <c r="N184" s="201">
        <v>1.5</v>
      </c>
      <c r="O184" s="183" t="s">
        <v>86</v>
      </c>
      <c r="P184" s="206"/>
      <c r="Q184" s="184"/>
      <c r="R184" s="185">
        <f t="shared" si="35"/>
        <v>0.15</v>
      </c>
      <c r="S184" s="186">
        <f t="shared" si="36"/>
        <v>450</v>
      </c>
      <c r="T184" s="187">
        <f t="shared" si="37"/>
        <v>0</v>
      </c>
      <c r="U184" s="188">
        <f t="shared" si="22"/>
        <v>450</v>
      </c>
      <c r="V184" s="189">
        <f t="shared" si="23"/>
        <v>0.008823529412</v>
      </c>
      <c r="W184" s="190" t="str">
        <f t="shared" si="38"/>
        <v/>
      </c>
      <c r="X184" s="191" t="str">
        <f t="shared" si="39"/>
        <v>#VALUE!</v>
      </c>
      <c r="Y184" s="189" t="str">
        <f t="shared" si="40"/>
        <v>#REF!</v>
      </c>
      <c r="Z184" s="191" t="str">
        <f t="shared" si="8"/>
        <v/>
      </c>
      <c r="AA184" s="191">
        <f t="shared" si="9"/>
        <v>7</v>
      </c>
      <c r="AB184" s="70"/>
      <c r="AC184" s="175"/>
      <c r="AD184" s="177"/>
      <c r="AE184" s="175"/>
      <c r="AF184" s="180"/>
      <c r="AG184" s="180"/>
      <c r="AH184" s="180"/>
      <c r="AI184" s="180" t="str">
        <f t="shared" si="41"/>
        <v/>
      </c>
      <c r="AJ184" s="180"/>
      <c r="AK184" s="180"/>
      <c r="AL184" s="72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</row>
    <row r="185" ht="18.0" customHeight="1">
      <c r="A185" s="6"/>
      <c r="B185" s="217">
        <v>44564.0</v>
      </c>
      <c r="C185" s="176" t="s">
        <v>75</v>
      </c>
      <c r="D185" s="176" t="s">
        <v>88</v>
      </c>
      <c r="E185" s="176" t="s">
        <v>26</v>
      </c>
      <c r="F185" s="176" t="s">
        <v>27</v>
      </c>
      <c r="G185" s="216">
        <v>44570.0</v>
      </c>
      <c r="H185" s="179">
        <f>IFERROR(__xludf.DUMMYFUNCTION("GOOGLEFINANCE(D185,""price"")"),46.83)</f>
        <v>46.83</v>
      </c>
      <c r="I185" s="201">
        <v>176.0</v>
      </c>
      <c r="J185" s="181"/>
      <c r="K185" s="181"/>
      <c r="L185" s="181" t="str">
        <f t="shared" si="18"/>
        <v>Option Closed</v>
      </c>
      <c r="M185" s="212">
        <v>3.0</v>
      </c>
      <c r="N185" s="201">
        <v>1.5</v>
      </c>
      <c r="O185" s="183" t="s">
        <v>86</v>
      </c>
      <c r="P185" s="206"/>
      <c r="Q185" s="184"/>
      <c r="R185" s="185">
        <f t="shared" si="35"/>
        <v>0.15</v>
      </c>
      <c r="S185" s="186">
        <f t="shared" si="36"/>
        <v>450</v>
      </c>
      <c r="T185" s="187">
        <f t="shared" si="37"/>
        <v>0</v>
      </c>
      <c r="U185" s="188">
        <f t="shared" si="22"/>
        <v>450</v>
      </c>
      <c r="V185" s="189">
        <f t="shared" si="23"/>
        <v>0.008522727273</v>
      </c>
      <c r="W185" s="190" t="str">
        <f t="shared" si="38"/>
        <v/>
      </c>
      <c r="X185" s="191" t="str">
        <f t="shared" si="39"/>
        <v>#VALUE!</v>
      </c>
      <c r="Y185" s="189" t="str">
        <f t="shared" si="40"/>
        <v>#REF!</v>
      </c>
      <c r="Z185" s="191" t="str">
        <f t="shared" si="8"/>
        <v/>
      </c>
      <c r="AA185" s="191">
        <f t="shared" si="9"/>
        <v>6</v>
      </c>
      <c r="AB185" s="70"/>
      <c r="AC185" s="175"/>
      <c r="AD185" s="177"/>
      <c r="AE185" s="175"/>
      <c r="AF185" s="180"/>
      <c r="AG185" s="180"/>
      <c r="AH185" s="180"/>
      <c r="AI185" s="180" t="str">
        <f t="shared" si="41"/>
        <v/>
      </c>
      <c r="AJ185" s="180"/>
      <c r="AK185" s="180"/>
      <c r="AL185" s="72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</row>
    <row r="186" ht="18.0" customHeight="1">
      <c r="A186" s="6"/>
      <c r="B186" s="217">
        <v>44571.0</v>
      </c>
      <c r="C186" s="176" t="s">
        <v>105</v>
      </c>
      <c r="D186" s="176" t="s">
        <v>78</v>
      </c>
      <c r="E186" s="176" t="s">
        <v>82</v>
      </c>
      <c r="F186" s="176" t="s">
        <v>27</v>
      </c>
      <c r="G186" s="216">
        <v>44582.0</v>
      </c>
      <c r="H186" s="179">
        <f>IFERROR(__xludf.DUMMYFUNCTION("GOOGLEFINANCE(D186,""price"")"),720.66)</f>
        <v>720.66</v>
      </c>
      <c r="I186" s="201">
        <v>420.0</v>
      </c>
      <c r="J186" s="181"/>
      <c r="K186" s="181"/>
      <c r="L186" s="181" t="str">
        <f t="shared" si="18"/>
        <v>Option Closed</v>
      </c>
      <c r="M186" s="212">
        <v>1.0</v>
      </c>
      <c r="N186" s="201">
        <v>4.5</v>
      </c>
      <c r="O186" s="183" t="s">
        <v>98</v>
      </c>
      <c r="P186" s="206">
        <v>44582.0</v>
      </c>
      <c r="Q186" s="184">
        <v>14.0</v>
      </c>
      <c r="R186" s="185">
        <f t="shared" si="35"/>
        <v>0.45</v>
      </c>
      <c r="S186" s="186">
        <f t="shared" si="36"/>
        <v>450</v>
      </c>
      <c r="T186" s="187">
        <f t="shared" si="37"/>
        <v>-1400</v>
      </c>
      <c r="U186" s="188">
        <f t="shared" si="22"/>
        <v>-950</v>
      </c>
      <c r="V186" s="189">
        <f t="shared" si="23"/>
        <v>0.01071428571</v>
      </c>
      <c r="W186" s="190" t="str">
        <f t="shared" si="38"/>
        <v/>
      </c>
      <c r="X186" s="191" t="str">
        <f t="shared" si="39"/>
        <v>#VALUE!</v>
      </c>
      <c r="Y186" s="189" t="str">
        <f t="shared" si="40"/>
        <v>#REF!</v>
      </c>
      <c r="Z186" s="191" t="str">
        <f t="shared" si="8"/>
        <v/>
      </c>
      <c r="AA186" s="191">
        <f t="shared" si="9"/>
        <v>11</v>
      </c>
      <c r="AB186" s="70"/>
      <c r="AC186" s="175"/>
      <c r="AD186" s="177"/>
      <c r="AE186" s="175"/>
      <c r="AF186" s="180"/>
      <c r="AG186" s="180"/>
      <c r="AH186" s="180"/>
      <c r="AI186" s="180" t="str">
        <f t="shared" si="41"/>
        <v/>
      </c>
      <c r="AJ186" s="180"/>
      <c r="AK186" s="180"/>
      <c r="AL186" s="72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</row>
    <row r="187" ht="18.0" customHeight="1">
      <c r="A187" s="6"/>
      <c r="B187" s="217">
        <v>44582.0</v>
      </c>
      <c r="C187" s="176" t="s">
        <v>105</v>
      </c>
      <c r="D187" s="176" t="s">
        <v>78</v>
      </c>
      <c r="E187" s="176" t="s">
        <v>82</v>
      </c>
      <c r="F187" s="176" t="s">
        <v>27</v>
      </c>
      <c r="G187" s="216">
        <v>44610.0</v>
      </c>
      <c r="H187" s="179">
        <f>IFERROR(__xludf.DUMMYFUNCTION("GOOGLEFINANCE(D187,""price"")"),720.66)</f>
        <v>720.66</v>
      </c>
      <c r="I187" s="201">
        <v>410.0</v>
      </c>
      <c r="J187" s="181"/>
      <c r="K187" s="181"/>
      <c r="L187" s="181" t="str">
        <f t="shared" si="18"/>
        <v>Option Closed</v>
      </c>
      <c r="M187" s="212">
        <v>1.0</v>
      </c>
      <c r="N187" s="201">
        <v>16.0</v>
      </c>
      <c r="O187" s="183" t="s">
        <v>98</v>
      </c>
      <c r="P187" s="206">
        <v>44610.0</v>
      </c>
      <c r="Q187" s="184">
        <v>11.5</v>
      </c>
      <c r="R187" s="185">
        <f t="shared" si="35"/>
        <v>1.6</v>
      </c>
      <c r="S187" s="186">
        <f t="shared" si="36"/>
        <v>1600</v>
      </c>
      <c r="T187" s="187">
        <f t="shared" si="37"/>
        <v>-1150</v>
      </c>
      <c r="U187" s="188">
        <f t="shared" si="22"/>
        <v>450</v>
      </c>
      <c r="V187" s="189">
        <f t="shared" si="23"/>
        <v>0.03902439024</v>
      </c>
      <c r="W187" s="190" t="str">
        <f t="shared" si="38"/>
        <v/>
      </c>
      <c r="X187" s="191" t="str">
        <f t="shared" si="39"/>
        <v>#VALUE!</v>
      </c>
      <c r="Y187" s="189" t="str">
        <f t="shared" si="40"/>
        <v>#REF!</v>
      </c>
      <c r="Z187" s="191" t="str">
        <f t="shared" si="8"/>
        <v/>
      </c>
      <c r="AA187" s="191">
        <f t="shared" si="9"/>
        <v>28</v>
      </c>
      <c r="AB187" s="70"/>
      <c r="AC187" s="175"/>
      <c r="AD187" s="177"/>
      <c r="AE187" s="175"/>
      <c r="AF187" s="180"/>
      <c r="AG187" s="180"/>
      <c r="AH187" s="180"/>
      <c r="AI187" s="180" t="str">
        <f t="shared" si="41"/>
        <v/>
      </c>
      <c r="AJ187" s="180"/>
      <c r="AK187" s="180"/>
      <c r="AL187" s="72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</row>
    <row r="188" ht="18.0" customHeight="1">
      <c r="A188" s="6"/>
      <c r="B188" s="217">
        <v>44610.0</v>
      </c>
      <c r="C188" s="176" t="s">
        <v>105</v>
      </c>
      <c r="D188" s="176" t="s">
        <v>78</v>
      </c>
      <c r="E188" s="176" t="s">
        <v>82</v>
      </c>
      <c r="F188" s="176" t="s">
        <v>27</v>
      </c>
      <c r="G188" s="216">
        <v>44638.0</v>
      </c>
      <c r="H188" s="179">
        <f>IFERROR(__xludf.DUMMYFUNCTION("GOOGLEFINANCE(D188,""price"")"),720.66)</f>
        <v>720.66</v>
      </c>
      <c r="I188" s="201">
        <v>405.0</v>
      </c>
      <c r="J188" s="181"/>
      <c r="K188" s="181"/>
      <c r="L188" s="181" t="str">
        <f t="shared" si="18"/>
        <v>Option Closed</v>
      </c>
      <c r="M188" s="212">
        <v>1.0</v>
      </c>
      <c r="N188" s="201">
        <v>16.9</v>
      </c>
      <c r="O188" s="183" t="s">
        <v>86</v>
      </c>
      <c r="P188" s="206"/>
      <c r="Q188" s="184"/>
      <c r="R188" s="185">
        <f t="shared" si="35"/>
        <v>1.69</v>
      </c>
      <c r="S188" s="186">
        <f t="shared" si="36"/>
        <v>1690</v>
      </c>
      <c r="T188" s="187">
        <f t="shared" si="37"/>
        <v>0</v>
      </c>
      <c r="U188" s="188">
        <f t="shared" si="22"/>
        <v>1690</v>
      </c>
      <c r="V188" s="189">
        <f t="shared" si="23"/>
        <v>0.04172839506</v>
      </c>
      <c r="W188" s="190" t="str">
        <f t="shared" si="38"/>
        <v/>
      </c>
      <c r="X188" s="191" t="str">
        <f t="shared" si="39"/>
        <v>#VALUE!</v>
      </c>
      <c r="Y188" s="189" t="str">
        <f t="shared" si="40"/>
        <v>#REF!</v>
      </c>
      <c r="Z188" s="191" t="str">
        <f t="shared" si="8"/>
        <v/>
      </c>
      <c r="AA188" s="191">
        <f t="shared" si="9"/>
        <v>28</v>
      </c>
      <c r="AB188" s="70"/>
      <c r="AC188" s="175"/>
      <c r="AD188" s="177"/>
      <c r="AE188" s="175"/>
      <c r="AF188" s="180"/>
      <c r="AG188" s="180"/>
      <c r="AH188" s="180"/>
      <c r="AI188" s="180" t="str">
        <f t="shared" si="41"/>
        <v/>
      </c>
      <c r="AJ188" s="180"/>
      <c r="AK188" s="180"/>
      <c r="AL188" s="72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</row>
    <row r="189" ht="18.0" customHeight="1">
      <c r="A189" s="6"/>
      <c r="B189" s="217">
        <v>44617.0</v>
      </c>
      <c r="C189" s="176" t="s">
        <v>105</v>
      </c>
      <c r="D189" s="176" t="s">
        <v>106</v>
      </c>
      <c r="E189" s="176" t="s">
        <v>82</v>
      </c>
      <c r="F189" s="176" t="s">
        <v>27</v>
      </c>
      <c r="G189" s="216">
        <v>44638.0</v>
      </c>
      <c r="H189" s="179">
        <f>IFERROR(__xludf.DUMMYFUNCTION("GOOGLEFINANCE(D189,""price"")"),230.13)</f>
        <v>230.13</v>
      </c>
      <c r="I189" s="201">
        <v>188.0</v>
      </c>
      <c r="J189" s="181"/>
      <c r="K189" s="181"/>
      <c r="L189" s="181" t="str">
        <f t="shared" si="18"/>
        <v>Option Closed</v>
      </c>
      <c r="M189" s="212">
        <v>2.0</v>
      </c>
      <c r="N189" s="201">
        <v>3.0</v>
      </c>
      <c r="O189" s="183" t="s">
        <v>86</v>
      </c>
      <c r="P189" s="206"/>
      <c r="Q189" s="184"/>
      <c r="R189" s="185">
        <f t="shared" si="35"/>
        <v>0.3</v>
      </c>
      <c r="S189" s="186">
        <f t="shared" si="36"/>
        <v>600</v>
      </c>
      <c r="T189" s="187">
        <f t="shared" si="37"/>
        <v>0</v>
      </c>
      <c r="U189" s="188">
        <f t="shared" si="22"/>
        <v>600</v>
      </c>
      <c r="V189" s="189">
        <f t="shared" si="23"/>
        <v>0.01595744681</v>
      </c>
      <c r="W189" s="190" t="str">
        <f t="shared" si="38"/>
        <v/>
      </c>
      <c r="X189" s="191" t="str">
        <f t="shared" si="39"/>
        <v>#VALUE!</v>
      </c>
      <c r="Y189" s="189" t="str">
        <f t="shared" si="40"/>
        <v>#REF!</v>
      </c>
      <c r="Z189" s="191" t="str">
        <f t="shared" si="8"/>
        <v/>
      </c>
      <c r="AA189" s="191">
        <f t="shared" si="9"/>
        <v>21</v>
      </c>
      <c r="AB189" s="70"/>
      <c r="AC189" s="175"/>
      <c r="AD189" s="177"/>
      <c r="AE189" s="175"/>
      <c r="AF189" s="180"/>
      <c r="AG189" s="180"/>
      <c r="AH189" s="180"/>
      <c r="AI189" s="180" t="str">
        <f t="shared" si="41"/>
        <v/>
      </c>
      <c r="AJ189" s="180"/>
      <c r="AK189" s="180"/>
      <c r="AL189" s="72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</row>
    <row r="190" ht="18.0" customHeight="1">
      <c r="A190" s="6"/>
      <c r="B190" s="217">
        <v>44616.0</v>
      </c>
      <c r="C190" s="176" t="s">
        <v>82</v>
      </c>
      <c r="D190" s="176" t="s">
        <v>107</v>
      </c>
      <c r="E190" s="176" t="s">
        <v>82</v>
      </c>
      <c r="F190" s="176" t="s">
        <v>29</v>
      </c>
      <c r="G190" s="216">
        <v>44638.0</v>
      </c>
      <c r="H190" s="179">
        <f>IFERROR(__xludf.DUMMYFUNCTION("GOOGLEFINANCE(D190,""price"")"),666.06)</f>
        <v>666.06</v>
      </c>
      <c r="I190" s="201">
        <v>435.0</v>
      </c>
      <c r="J190" s="181"/>
      <c r="K190" s="181"/>
      <c r="L190" s="181" t="str">
        <f t="shared" si="18"/>
        <v>Option Closed</v>
      </c>
      <c r="M190" s="212">
        <v>5.0</v>
      </c>
      <c r="N190" s="201">
        <v>1.0</v>
      </c>
      <c r="O190" s="183" t="s">
        <v>45</v>
      </c>
      <c r="P190" s="206">
        <v>44635.0</v>
      </c>
      <c r="Q190" s="184">
        <v>2.6</v>
      </c>
      <c r="R190" s="185">
        <f t="shared" si="35"/>
        <v>0.1</v>
      </c>
      <c r="S190" s="186">
        <f t="shared" si="36"/>
        <v>-500</v>
      </c>
      <c r="T190" s="187">
        <f t="shared" si="37"/>
        <v>1300</v>
      </c>
      <c r="U190" s="188">
        <f t="shared" si="22"/>
        <v>800</v>
      </c>
      <c r="V190" s="189">
        <f t="shared" si="23"/>
        <v>0.002298850575</v>
      </c>
      <c r="W190" s="190" t="str">
        <f t="shared" si="38"/>
        <v/>
      </c>
      <c r="X190" s="191" t="str">
        <f t="shared" si="39"/>
        <v>#VALUE!</v>
      </c>
      <c r="Y190" s="189" t="str">
        <f t="shared" si="40"/>
        <v>#REF!</v>
      </c>
      <c r="Z190" s="191" t="str">
        <f t="shared" si="8"/>
        <v/>
      </c>
      <c r="AA190" s="191">
        <f t="shared" si="9"/>
        <v>19</v>
      </c>
      <c r="AB190" s="70"/>
      <c r="AC190" s="175"/>
      <c r="AD190" s="177"/>
      <c r="AE190" s="175"/>
      <c r="AF190" s="180"/>
      <c r="AG190" s="180"/>
      <c r="AH190" s="180"/>
      <c r="AI190" s="180" t="str">
        <f t="shared" si="41"/>
        <v/>
      </c>
      <c r="AJ190" s="180"/>
      <c r="AK190" s="180"/>
      <c r="AL190" s="72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</row>
    <row r="191" ht="18.0" customHeight="1">
      <c r="A191" s="6"/>
      <c r="B191" s="217">
        <v>44642.0</v>
      </c>
      <c r="C191" s="176" t="s">
        <v>91</v>
      </c>
      <c r="D191" s="176" t="s">
        <v>78</v>
      </c>
      <c r="E191" s="176" t="s">
        <v>26</v>
      </c>
      <c r="F191" s="176" t="s">
        <v>27</v>
      </c>
      <c r="G191" s="216">
        <v>44666.0</v>
      </c>
      <c r="H191" s="179">
        <f>IFERROR(__xludf.DUMMYFUNCTION("GOOGLEFINANCE(D191,""price"")"),720.66)</f>
        <v>720.66</v>
      </c>
      <c r="I191" s="201">
        <v>435.0</v>
      </c>
      <c r="J191" s="181"/>
      <c r="K191" s="181"/>
      <c r="L191" s="181" t="str">
        <f t="shared" si="18"/>
        <v>Option Closed</v>
      </c>
      <c r="M191" s="212">
        <v>8.0</v>
      </c>
      <c r="N191" s="201">
        <v>5.0</v>
      </c>
      <c r="O191" s="183" t="s">
        <v>86</v>
      </c>
      <c r="P191" s="206"/>
      <c r="Q191" s="184"/>
      <c r="R191" s="185">
        <f t="shared" si="35"/>
        <v>0.5</v>
      </c>
      <c r="S191" s="186">
        <f t="shared" si="36"/>
        <v>4000</v>
      </c>
      <c r="T191" s="187">
        <f t="shared" si="37"/>
        <v>0</v>
      </c>
      <c r="U191" s="188">
        <f t="shared" si="22"/>
        <v>4000</v>
      </c>
      <c r="V191" s="189">
        <f t="shared" si="23"/>
        <v>0.01149425287</v>
      </c>
      <c r="W191" s="190" t="str">
        <f t="shared" si="38"/>
        <v/>
      </c>
      <c r="X191" s="191" t="str">
        <f t="shared" si="39"/>
        <v>#VALUE!</v>
      </c>
      <c r="Y191" s="189" t="str">
        <f t="shared" si="40"/>
        <v>#REF!</v>
      </c>
      <c r="Z191" s="191" t="str">
        <f t="shared" si="8"/>
        <v/>
      </c>
      <c r="AA191" s="191">
        <f t="shared" si="9"/>
        <v>24</v>
      </c>
      <c r="AB191" s="70"/>
      <c r="AC191" s="175"/>
      <c r="AD191" s="177"/>
      <c r="AE191" s="175"/>
      <c r="AF191" s="180"/>
      <c r="AG191" s="180"/>
      <c r="AH191" s="180"/>
      <c r="AI191" s="180" t="str">
        <f t="shared" si="41"/>
        <v/>
      </c>
      <c r="AJ191" s="180"/>
      <c r="AK191" s="180"/>
      <c r="AL191" s="72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</row>
    <row r="192" ht="18.0" customHeight="1">
      <c r="A192" s="6"/>
      <c r="B192" s="217">
        <v>44642.0</v>
      </c>
      <c r="C192" s="176" t="s">
        <v>91</v>
      </c>
      <c r="D192" s="176" t="s">
        <v>99</v>
      </c>
      <c r="E192" s="176" t="s">
        <v>26</v>
      </c>
      <c r="F192" s="176" t="s">
        <v>27</v>
      </c>
      <c r="G192" s="216">
        <v>44666.0</v>
      </c>
      <c r="H192" s="179">
        <f>IFERROR(__xludf.DUMMYFUNCTION("GOOGLEFINANCE(D192,""price"")"),365.93)</f>
        <v>365.93</v>
      </c>
      <c r="I192" s="201">
        <v>330.0</v>
      </c>
      <c r="J192" s="181"/>
      <c r="K192" s="181"/>
      <c r="L192" s="181" t="str">
        <f t="shared" si="18"/>
        <v>Option Closed</v>
      </c>
      <c r="M192" s="212">
        <v>3.0</v>
      </c>
      <c r="N192" s="201">
        <v>1.0</v>
      </c>
      <c r="O192" s="183" t="s">
        <v>86</v>
      </c>
      <c r="P192" s="206"/>
      <c r="Q192" s="184"/>
      <c r="R192" s="185">
        <f t="shared" si="35"/>
        <v>0.1</v>
      </c>
      <c r="S192" s="186">
        <f t="shared" si="36"/>
        <v>300</v>
      </c>
      <c r="T192" s="187">
        <f t="shared" si="37"/>
        <v>0</v>
      </c>
      <c r="U192" s="188">
        <f t="shared" si="22"/>
        <v>300</v>
      </c>
      <c r="V192" s="189">
        <f t="shared" si="23"/>
        <v>0.00303030303</v>
      </c>
      <c r="W192" s="190" t="str">
        <f t="shared" si="38"/>
        <v/>
      </c>
      <c r="X192" s="191" t="str">
        <f t="shared" si="39"/>
        <v>#VALUE!</v>
      </c>
      <c r="Y192" s="189" t="str">
        <f t="shared" si="40"/>
        <v>#REF!</v>
      </c>
      <c r="Z192" s="191" t="str">
        <f t="shared" si="8"/>
        <v/>
      </c>
      <c r="AA192" s="191">
        <f t="shared" si="9"/>
        <v>24</v>
      </c>
      <c r="AB192" s="70"/>
      <c r="AC192" s="175"/>
      <c r="AD192" s="177"/>
      <c r="AE192" s="175"/>
      <c r="AF192" s="180"/>
      <c r="AG192" s="180"/>
      <c r="AH192" s="180"/>
      <c r="AI192" s="180" t="str">
        <f t="shared" si="41"/>
        <v/>
      </c>
      <c r="AJ192" s="180"/>
      <c r="AK192" s="180"/>
      <c r="AL192" s="72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</row>
    <row r="193" ht="18.0" customHeight="1">
      <c r="A193" s="6"/>
      <c r="B193" s="217">
        <v>44659.0</v>
      </c>
      <c r="C193" s="176" t="s">
        <v>105</v>
      </c>
      <c r="D193" s="176" t="s">
        <v>78</v>
      </c>
      <c r="E193" s="176" t="s">
        <v>82</v>
      </c>
      <c r="F193" s="176" t="s">
        <v>27</v>
      </c>
      <c r="G193" s="216">
        <v>44666.0</v>
      </c>
      <c r="H193" s="179">
        <f>IFERROR(__xludf.DUMMYFUNCTION("GOOGLEFINANCE(D193,""price"")"),720.66)</f>
        <v>720.66</v>
      </c>
      <c r="I193" s="201">
        <v>395.0</v>
      </c>
      <c r="J193" s="181"/>
      <c r="K193" s="181"/>
      <c r="L193" s="181" t="str">
        <f t="shared" si="18"/>
        <v>Option Closed</v>
      </c>
      <c r="M193" s="212">
        <v>1.0</v>
      </c>
      <c r="N193" s="201">
        <v>6.0</v>
      </c>
      <c r="O193" s="183" t="s">
        <v>86</v>
      </c>
      <c r="P193" s="206"/>
      <c r="Q193" s="184"/>
      <c r="R193" s="185">
        <f t="shared" si="35"/>
        <v>0.6</v>
      </c>
      <c r="S193" s="186">
        <f t="shared" si="36"/>
        <v>600</v>
      </c>
      <c r="T193" s="187">
        <f t="shared" si="37"/>
        <v>0</v>
      </c>
      <c r="U193" s="188">
        <f t="shared" si="22"/>
        <v>600</v>
      </c>
      <c r="V193" s="189">
        <f t="shared" si="23"/>
        <v>0.01518987342</v>
      </c>
      <c r="W193" s="190" t="str">
        <f t="shared" si="38"/>
        <v/>
      </c>
      <c r="X193" s="191" t="str">
        <f t="shared" si="39"/>
        <v>#VALUE!</v>
      </c>
      <c r="Y193" s="189" t="str">
        <f t="shared" si="40"/>
        <v>#REF!</v>
      </c>
      <c r="Z193" s="191" t="str">
        <f t="shared" si="8"/>
        <v/>
      </c>
      <c r="AA193" s="191">
        <f t="shared" si="9"/>
        <v>7</v>
      </c>
      <c r="AB193" s="70"/>
      <c r="AC193" s="175"/>
      <c r="AD193" s="177"/>
      <c r="AE193" s="175"/>
      <c r="AF193" s="180"/>
      <c r="AG193" s="180"/>
      <c r="AH193" s="180"/>
      <c r="AI193" s="180" t="str">
        <f t="shared" si="41"/>
        <v/>
      </c>
      <c r="AJ193" s="180"/>
      <c r="AK193" s="180"/>
      <c r="AL193" s="72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</row>
    <row r="194" ht="18.0" customHeight="1">
      <c r="A194" s="6"/>
      <c r="B194" s="217">
        <v>44672.0</v>
      </c>
      <c r="C194" s="176" t="s">
        <v>91</v>
      </c>
      <c r="D194" s="176" t="s">
        <v>78</v>
      </c>
      <c r="E194" s="176" t="s">
        <v>26</v>
      </c>
      <c r="F194" s="176" t="s">
        <v>27</v>
      </c>
      <c r="G194" s="216">
        <v>44701.0</v>
      </c>
      <c r="H194" s="179">
        <f>IFERROR(__xludf.DUMMYFUNCTION("GOOGLEFINANCE(D194,""price"")"),720.66)</f>
        <v>720.66</v>
      </c>
      <c r="I194" s="201">
        <v>400.0</v>
      </c>
      <c r="J194" s="181"/>
      <c r="K194" s="181"/>
      <c r="L194" s="181" t="str">
        <f t="shared" si="18"/>
        <v>Option Closed</v>
      </c>
      <c r="M194" s="212">
        <v>1.0</v>
      </c>
      <c r="N194" s="201">
        <v>10.5</v>
      </c>
      <c r="O194" s="183" t="s">
        <v>86</v>
      </c>
      <c r="P194" s="206"/>
      <c r="Q194" s="184"/>
      <c r="R194" s="185">
        <f t="shared" si="35"/>
        <v>1.05</v>
      </c>
      <c r="S194" s="186">
        <f t="shared" si="36"/>
        <v>1050</v>
      </c>
      <c r="T194" s="187">
        <f t="shared" si="37"/>
        <v>0</v>
      </c>
      <c r="U194" s="188">
        <f t="shared" si="22"/>
        <v>1050</v>
      </c>
      <c r="V194" s="189">
        <f t="shared" si="23"/>
        <v>0.02625</v>
      </c>
      <c r="W194" s="190" t="str">
        <f t="shared" si="38"/>
        <v/>
      </c>
      <c r="X194" s="191" t="str">
        <f t="shared" si="39"/>
        <v>#VALUE!</v>
      </c>
      <c r="Y194" s="189" t="str">
        <f t="shared" si="40"/>
        <v>#REF!</v>
      </c>
      <c r="Z194" s="191" t="str">
        <f t="shared" si="8"/>
        <v/>
      </c>
      <c r="AA194" s="191">
        <f t="shared" si="9"/>
        <v>29</v>
      </c>
      <c r="AB194" s="70"/>
      <c r="AC194" s="175"/>
      <c r="AD194" s="177"/>
      <c r="AE194" s="175"/>
      <c r="AF194" s="180"/>
      <c r="AG194" s="180"/>
      <c r="AH194" s="180"/>
      <c r="AI194" s="180" t="str">
        <f t="shared" si="41"/>
        <v/>
      </c>
      <c r="AJ194" s="180"/>
      <c r="AK194" s="180"/>
      <c r="AL194" s="72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</row>
    <row r="195" ht="18.0" customHeight="1">
      <c r="A195" s="6"/>
      <c r="B195" s="217">
        <v>44714.0</v>
      </c>
      <c r="C195" s="176" t="s">
        <v>91</v>
      </c>
      <c r="D195" s="176" t="s">
        <v>76</v>
      </c>
      <c r="E195" s="176" t="s">
        <v>26</v>
      </c>
      <c r="F195" s="176" t="s">
        <v>27</v>
      </c>
      <c r="G195" s="216">
        <v>44757.0</v>
      </c>
      <c r="H195" s="179">
        <f>IFERROR(__xludf.DUMMYFUNCTION("GOOGLEFINANCE(D195,""price"")"),7.53)</f>
        <v>7.53</v>
      </c>
      <c r="I195" s="201">
        <v>52.0</v>
      </c>
      <c r="J195" s="181"/>
      <c r="K195" s="181"/>
      <c r="L195" s="181" t="str">
        <f t="shared" si="18"/>
        <v>Option Closed</v>
      </c>
      <c r="M195" s="212">
        <v>2.0</v>
      </c>
      <c r="N195" s="201">
        <v>1.75</v>
      </c>
      <c r="O195" s="183" t="s">
        <v>86</v>
      </c>
      <c r="P195" s="206"/>
      <c r="Q195" s="184"/>
      <c r="R195" s="185">
        <f t="shared" si="35"/>
        <v>0.175</v>
      </c>
      <c r="S195" s="186">
        <f t="shared" si="36"/>
        <v>350</v>
      </c>
      <c r="T195" s="187">
        <f t="shared" si="37"/>
        <v>0</v>
      </c>
      <c r="U195" s="188">
        <f t="shared" si="22"/>
        <v>350</v>
      </c>
      <c r="V195" s="189">
        <f t="shared" si="23"/>
        <v>0.03365384615</v>
      </c>
      <c r="W195" s="190" t="str">
        <f t="shared" si="38"/>
        <v/>
      </c>
      <c r="X195" s="191" t="str">
        <f t="shared" si="39"/>
        <v>#VALUE!</v>
      </c>
      <c r="Y195" s="189" t="str">
        <f t="shared" si="40"/>
        <v>#REF!</v>
      </c>
      <c r="Z195" s="191" t="str">
        <f t="shared" si="8"/>
        <v/>
      </c>
      <c r="AA195" s="191">
        <f t="shared" si="9"/>
        <v>43</v>
      </c>
      <c r="AB195" s="70"/>
      <c r="AC195" s="175"/>
      <c r="AD195" s="177"/>
      <c r="AE195" s="175"/>
      <c r="AF195" s="180"/>
      <c r="AG195" s="180"/>
      <c r="AH195" s="180"/>
      <c r="AI195" s="180" t="str">
        <f t="shared" si="41"/>
        <v/>
      </c>
      <c r="AJ195" s="180"/>
      <c r="AK195" s="180"/>
      <c r="AL195" s="72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</row>
    <row r="196" ht="18.0" customHeight="1">
      <c r="A196" s="6"/>
      <c r="B196" s="217">
        <v>44714.0</v>
      </c>
      <c r="C196" s="176" t="s">
        <v>91</v>
      </c>
      <c r="D196" s="176" t="s">
        <v>79</v>
      </c>
      <c r="E196" s="176" t="s">
        <v>26</v>
      </c>
      <c r="F196" s="176" t="s">
        <v>27</v>
      </c>
      <c r="G196" s="216">
        <v>44757.0</v>
      </c>
      <c r="H196" s="179">
        <f>IFERROR(__xludf.DUMMYFUNCTION("GOOGLEFINANCE(D196,""price"")"),5.55)</f>
        <v>5.55</v>
      </c>
      <c r="I196" s="201">
        <v>22.0</v>
      </c>
      <c r="J196" s="181"/>
      <c r="K196" s="181"/>
      <c r="L196" s="181" t="str">
        <f t="shared" si="18"/>
        <v>Option Closed</v>
      </c>
      <c r="M196" s="212">
        <v>2.0</v>
      </c>
      <c r="N196" s="201">
        <v>1.5</v>
      </c>
      <c r="O196" s="183" t="s">
        <v>86</v>
      </c>
      <c r="P196" s="206"/>
      <c r="Q196" s="184"/>
      <c r="R196" s="185">
        <f t="shared" si="35"/>
        <v>0.15</v>
      </c>
      <c r="S196" s="186">
        <f t="shared" si="36"/>
        <v>300</v>
      </c>
      <c r="T196" s="187">
        <f t="shared" si="37"/>
        <v>0</v>
      </c>
      <c r="U196" s="188">
        <f t="shared" si="22"/>
        <v>300</v>
      </c>
      <c r="V196" s="189">
        <f t="shared" si="23"/>
        <v>0.06818181818</v>
      </c>
      <c r="W196" s="190" t="str">
        <f t="shared" si="38"/>
        <v/>
      </c>
      <c r="X196" s="191" t="str">
        <f t="shared" si="39"/>
        <v>#VALUE!</v>
      </c>
      <c r="Y196" s="189" t="str">
        <f t="shared" si="40"/>
        <v>#REF!</v>
      </c>
      <c r="Z196" s="191" t="str">
        <f t="shared" si="8"/>
        <v/>
      </c>
      <c r="AA196" s="191">
        <f t="shared" si="9"/>
        <v>43</v>
      </c>
      <c r="AB196" s="70"/>
      <c r="AC196" s="175"/>
      <c r="AD196" s="177"/>
      <c r="AE196" s="175"/>
      <c r="AF196" s="180"/>
      <c r="AG196" s="180"/>
      <c r="AH196" s="180"/>
      <c r="AI196" s="180" t="str">
        <f t="shared" si="41"/>
        <v/>
      </c>
      <c r="AJ196" s="180"/>
      <c r="AK196" s="180"/>
      <c r="AL196" s="72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</row>
    <row r="197" ht="18.0" customHeight="1">
      <c r="A197" s="6"/>
      <c r="B197" s="217">
        <v>44718.0</v>
      </c>
      <c r="C197" s="176" t="s">
        <v>91</v>
      </c>
      <c r="D197" s="176" t="s">
        <v>108</v>
      </c>
      <c r="E197" s="176" t="s">
        <v>26</v>
      </c>
      <c r="F197" s="176" t="s">
        <v>27</v>
      </c>
      <c r="G197" s="216">
        <v>44757.0</v>
      </c>
      <c r="H197" s="179">
        <f>IFERROR(__xludf.DUMMYFUNCTION("GOOGLEFINANCE(D197,""price"")"),4.96)</f>
        <v>4.96</v>
      </c>
      <c r="I197" s="201">
        <v>37.0</v>
      </c>
      <c r="J197" s="181"/>
      <c r="K197" s="181"/>
      <c r="L197" s="181" t="str">
        <f t="shared" si="18"/>
        <v>Option Closed</v>
      </c>
      <c r="M197" s="212">
        <v>1.0</v>
      </c>
      <c r="N197" s="201">
        <v>1.15</v>
      </c>
      <c r="O197" s="183" t="s">
        <v>86</v>
      </c>
      <c r="P197" s="206"/>
      <c r="Q197" s="184"/>
      <c r="R197" s="185">
        <f t="shared" si="35"/>
        <v>0.115</v>
      </c>
      <c r="S197" s="186">
        <f t="shared" si="36"/>
        <v>115</v>
      </c>
      <c r="T197" s="187">
        <f t="shared" si="37"/>
        <v>0</v>
      </c>
      <c r="U197" s="188">
        <f t="shared" si="22"/>
        <v>115</v>
      </c>
      <c r="V197" s="189">
        <f t="shared" si="23"/>
        <v>0.03108108108</v>
      </c>
      <c r="W197" s="190" t="str">
        <f t="shared" si="38"/>
        <v/>
      </c>
      <c r="X197" s="191" t="str">
        <f t="shared" si="39"/>
        <v>#VALUE!</v>
      </c>
      <c r="Y197" s="189" t="str">
        <f t="shared" si="40"/>
        <v>#REF!</v>
      </c>
      <c r="Z197" s="191" t="str">
        <f t="shared" si="8"/>
        <v/>
      </c>
      <c r="AA197" s="191">
        <f t="shared" si="9"/>
        <v>39</v>
      </c>
      <c r="AB197" s="70"/>
      <c r="AC197" s="175"/>
      <c r="AD197" s="177"/>
      <c r="AE197" s="175"/>
      <c r="AF197" s="180"/>
      <c r="AG197" s="180"/>
      <c r="AH197" s="180"/>
      <c r="AI197" s="180" t="str">
        <f t="shared" si="41"/>
        <v/>
      </c>
      <c r="AJ197" s="180"/>
      <c r="AK197" s="180"/>
      <c r="AL197" s="72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</row>
    <row r="198" ht="18.0" customHeight="1">
      <c r="A198" s="6"/>
      <c r="B198" s="217">
        <v>44718.0</v>
      </c>
      <c r="C198" s="176" t="s">
        <v>91</v>
      </c>
      <c r="D198" s="176" t="s">
        <v>109</v>
      </c>
      <c r="E198" s="176" t="s">
        <v>26</v>
      </c>
      <c r="F198" s="176" t="s">
        <v>27</v>
      </c>
      <c r="G198" s="216">
        <v>44757.0</v>
      </c>
      <c r="H198" s="179">
        <f>IFERROR(__xludf.DUMMYFUNCTION("GOOGLEFINANCE(D198,""price"")"),9.6)</f>
        <v>9.6</v>
      </c>
      <c r="I198" s="201">
        <v>12.0</v>
      </c>
      <c r="J198" s="181"/>
      <c r="K198" s="181"/>
      <c r="L198" s="181" t="str">
        <f t="shared" si="18"/>
        <v>Option Closed</v>
      </c>
      <c r="M198" s="212">
        <v>3.0</v>
      </c>
      <c r="N198" s="201">
        <v>0.11</v>
      </c>
      <c r="O198" s="183" t="s">
        <v>86</v>
      </c>
      <c r="P198" s="206"/>
      <c r="Q198" s="184"/>
      <c r="R198" s="185">
        <f t="shared" si="35"/>
        <v>0.011</v>
      </c>
      <c r="S198" s="186">
        <f t="shared" si="36"/>
        <v>33</v>
      </c>
      <c r="T198" s="187">
        <f t="shared" si="37"/>
        <v>0</v>
      </c>
      <c r="U198" s="188">
        <f t="shared" si="22"/>
        <v>33</v>
      </c>
      <c r="V198" s="189">
        <f t="shared" si="23"/>
        <v>0.009166666667</v>
      </c>
      <c r="W198" s="190" t="str">
        <f t="shared" si="38"/>
        <v/>
      </c>
      <c r="X198" s="191" t="str">
        <f t="shared" si="39"/>
        <v>#VALUE!</v>
      </c>
      <c r="Y198" s="189" t="str">
        <f t="shared" si="40"/>
        <v>#REF!</v>
      </c>
      <c r="Z198" s="191" t="str">
        <f t="shared" si="8"/>
        <v/>
      </c>
      <c r="AA198" s="191">
        <f t="shared" si="9"/>
        <v>39</v>
      </c>
      <c r="AB198" s="70"/>
      <c r="AC198" s="175"/>
      <c r="AD198" s="177"/>
      <c r="AE198" s="175"/>
      <c r="AF198" s="180"/>
      <c r="AG198" s="180"/>
      <c r="AH198" s="180"/>
      <c r="AI198" s="180" t="str">
        <f t="shared" si="41"/>
        <v/>
      </c>
      <c r="AJ198" s="180"/>
      <c r="AK198" s="180"/>
      <c r="AL198" s="72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</row>
    <row r="199" ht="18.0" customHeight="1">
      <c r="A199" s="6"/>
      <c r="B199" s="217">
        <v>44714.0</v>
      </c>
      <c r="C199" s="176" t="s">
        <v>91</v>
      </c>
      <c r="D199" s="176" t="s">
        <v>104</v>
      </c>
      <c r="E199" s="176" t="s">
        <v>26</v>
      </c>
      <c r="F199" s="176" t="s">
        <v>27</v>
      </c>
      <c r="G199" s="216">
        <v>44757.0</v>
      </c>
      <c r="H199" s="179">
        <f>IFERROR(__xludf.DUMMYFUNCTION("GOOGLEFINANCE(D199,""price"")"),118.81)</f>
        <v>118.81</v>
      </c>
      <c r="I199" s="201">
        <v>62.0</v>
      </c>
      <c r="J199" s="181"/>
      <c r="K199" s="181"/>
      <c r="L199" s="181" t="str">
        <f t="shared" si="18"/>
        <v>Option Closed</v>
      </c>
      <c r="M199" s="212">
        <v>1.0</v>
      </c>
      <c r="N199" s="201">
        <v>1.4</v>
      </c>
      <c r="O199" s="183" t="s">
        <v>86</v>
      </c>
      <c r="P199" s="206"/>
      <c r="Q199" s="184"/>
      <c r="R199" s="185">
        <f t="shared" si="35"/>
        <v>0.14</v>
      </c>
      <c r="S199" s="186">
        <f t="shared" si="36"/>
        <v>140</v>
      </c>
      <c r="T199" s="187">
        <f t="shared" si="37"/>
        <v>0</v>
      </c>
      <c r="U199" s="188">
        <f t="shared" si="22"/>
        <v>140</v>
      </c>
      <c r="V199" s="189">
        <f t="shared" si="23"/>
        <v>0.02258064516</v>
      </c>
      <c r="W199" s="190" t="str">
        <f t="shared" si="38"/>
        <v/>
      </c>
      <c r="X199" s="191" t="str">
        <f t="shared" si="39"/>
        <v>#VALUE!</v>
      </c>
      <c r="Y199" s="189" t="str">
        <f t="shared" si="40"/>
        <v>#REF!</v>
      </c>
      <c r="Z199" s="191" t="str">
        <f t="shared" si="8"/>
        <v/>
      </c>
      <c r="AA199" s="191">
        <f t="shared" si="9"/>
        <v>43</v>
      </c>
      <c r="AB199" s="70"/>
      <c r="AC199" s="175"/>
      <c r="AD199" s="177"/>
      <c r="AE199" s="175"/>
      <c r="AF199" s="180"/>
      <c r="AG199" s="180"/>
      <c r="AH199" s="180"/>
      <c r="AI199" s="180" t="str">
        <f t="shared" si="41"/>
        <v/>
      </c>
      <c r="AJ199" s="180"/>
      <c r="AK199" s="180"/>
      <c r="AL199" s="72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</row>
    <row r="200" ht="18.0" customHeight="1">
      <c r="A200" s="6"/>
      <c r="B200" s="217">
        <v>44760.0</v>
      </c>
      <c r="C200" s="176" t="s">
        <v>91</v>
      </c>
      <c r="D200" s="176" t="s">
        <v>76</v>
      </c>
      <c r="E200" s="176" t="s">
        <v>26</v>
      </c>
      <c r="F200" s="176" t="s">
        <v>27</v>
      </c>
      <c r="G200" s="216">
        <v>44799.0</v>
      </c>
      <c r="H200" s="179">
        <f>IFERROR(__xludf.DUMMYFUNCTION("GOOGLEFINANCE(D200,""price"")"),7.53)</f>
        <v>7.53</v>
      </c>
      <c r="I200" s="201">
        <v>51.0</v>
      </c>
      <c r="J200" s="181"/>
      <c r="K200" s="181"/>
      <c r="L200" s="181" t="str">
        <f t="shared" si="18"/>
        <v>Option Closed</v>
      </c>
      <c r="M200" s="212">
        <v>2.0</v>
      </c>
      <c r="N200" s="201">
        <v>1.66</v>
      </c>
      <c r="O200" s="183" t="s">
        <v>86</v>
      </c>
      <c r="P200" s="206"/>
      <c r="Q200" s="184"/>
      <c r="R200" s="185">
        <f t="shared" si="35"/>
        <v>0.166</v>
      </c>
      <c r="S200" s="186">
        <f t="shared" si="36"/>
        <v>332</v>
      </c>
      <c r="T200" s="187">
        <f t="shared" si="37"/>
        <v>0</v>
      </c>
      <c r="U200" s="188">
        <f t="shared" si="22"/>
        <v>332</v>
      </c>
      <c r="V200" s="189">
        <f t="shared" si="23"/>
        <v>0.03254901961</v>
      </c>
      <c r="W200" s="190" t="str">
        <f t="shared" si="38"/>
        <v/>
      </c>
      <c r="X200" s="191" t="str">
        <f t="shared" si="39"/>
        <v>#VALUE!</v>
      </c>
      <c r="Y200" s="189" t="str">
        <f t="shared" si="40"/>
        <v>#REF!</v>
      </c>
      <c r="Z200" s="191" t="str">
        <f t="shared" si="8"/>
        <v/>
      </c>
      <c r="AA200" s="191">
        <f t="shared" si="9"/>
        <v>39</v>
      </c>
      <c r="AB200" s="70"/>
      <c r="AC200" s="175"/>
      <c r="AD200" s="177"/>
      <c r="AE200" s="175"/>
      <c r="AF200" s="180"/>
      <c r="AG200" s="180"/>
      <c r="AH200" s="180"/>
      <c r="AI200" s="180" t="str">
        <f t="shared" si="41"/>
        <v/>
      </c>
      <c r="AJ200" s="180"/>
      <c r="AK200" s="180"/>
      <c r="AL200" s="72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</row>
    <row r="201" ht="18.0" customHeight="1">
      <c r="A201" s="6"/>
      <c r="B201" s="217">
        <v>44760.0</v>
      </c>
      <c r="C201" s="176" t="s">
        <v>91</v>
      </c>
      <c r="D201" s="176" t="s">
        <v>100</v>
      </c>
      <c r="E201" s="176" t="s">
        <v>26</v>
      </c>
      <c r="F201" s="176" t="s">
        <v>27</v>
      </c>
      <c r="G201" s="216">
        <v>44792.0</v>
      </c>
      <c r="H201" s="179">
        <f>IFERROR(__xludf.DUMMYFUNCTION("GOOGLEFINANCE(D201,""price"")"),127.08)</f>
        <v>127.08</v>
      </c>
      <c r="I201" s="201">
        <v>59.0</v>
      </c>
      <c r="J201" s="181"/>
      <c r="K201" s="181"/>
      <c r="L201" s="181" t="str">
        <f t="shared" si="18"/>
        <v>Option Closed</v>
      </c>
      <c r="M201" s="212">
        <v>1.0</v>
      </c>
      <c r="N201" s="201">
        <v>1.68</v>
      </c>
      <c r="O201" s="183" t="s">
        <v>86</v>
      </c>
      <c r="P201" s="206"/>
      <c r="Q201" s="184"/>
      <c r="R201" s="185">
        <f t="shared" si="35"/>
        <v>0.168</v>
      </c>
      <c r="S201" s="186">
        <f t="shared" si="36"/>
        <v>168</v>
      </c>
      <c r="T201" s="187">
        <f t="shared" si="37"/>
        <v>0</v>
      </c>
      <c r="U201" s="188">
        <f t="shared" si="22"/>
        <v>168</v>
      </c>
      <c r="V201" s="189">
        <f t="shared" si="23"/>
        <v>0.02847457627</v>
      </c>
      <c r="W201" s="190" t="str">
        <f t="shared" si="38"/>
        <v/>
      </c>
      <c r="X201" s="191" t="str">
        <f t="shared" si="39"/>
        <v>#VALUE!</v>
      </c>
      <c r="Y201" s="189" t="str">
        <f t="shared" si="40"/>
        <v>#REF!</v>
      </c>
      <c r="Z201" s="191" t="str">
        <f t="shared" si="8"/>
        <v/>
      </c>
      <c r="AA201" s="191">
        <f t="shared" si="9"/>
        <v>32</v>
      </c>
      <c r="AB201" s="70"/>
      <c r="AC201" s="175"/>
      <c r="AD201" s="177"/>
      <c r="AE201" s="175"/>
      <c r="AF201" s="180"/>
      <c r="AG201" s="180"/>
      <c r="AH201" s="180"/>
      <c r="AI201" s="180" t="str">
        <f t="shared" si="41"/>
        <v/>
      </c>
      <c r="AJ201" s="180"/>
      <c r="AK201" s="180"/>
      <c r="AL201" s="72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</row>
    <row r="202" ht="18.0" customHeight="1">
      <c r="A202" s="6"/>
      <c r="B202" s="217">
        <v>44760.0</v>
      </c>
      <c r="C202" s="176" t="s">
        <v>91</v>
      </c>
      <c r="D202" s="176" t="s">
        <v>79</v>
      </c>
      <c r="E202" s="176" t="s">
        <v>26</v>
      </c>
      <c r="F202" s="176" t="s">
        <v>27</v>
      </c>
      <c r="G202" s="216">
        <v>44799.0</v>
      </c>
      <c r="H202" s="179">
        <f>IFERROR(__xludf.DUMMYFUNCTION("GOOGLEFINANCE(D202,""price"")"),5.55)</f>
        <v>5.55</v>
      </c>
      <c r="I202" s="201">
        <v>23.0</v>
      </c>
      <c r="J202" s="181"/>
      <c r="K202" s="181"/>
      <c r="L202" s="181" t="str">
        <f t="shared" si="18"/>
        <v>Option Closed</v>
      </c>
      <c r="M202" s="212">
        <v>2.0</v>
      </c>
      <c r="N202" s="201">
        <v>1.6</v>
      </c>
      <c r="O202" s="183" t="s">
        <v>86</v>
      </c>
      <c r="P202" s="206"/>
      <c r="Q202" s="184"/>
      <c r="R202" s="185">
        <f t="shared" si="35"/>
        <v>0.16</v>
      </c>
      <c r="S202" s="186">
        <f t="shared" si="36"/>
        <v>320</v>
      </c>
      <c r="T202" s="187">
        <f t="shared" si="37"/>
        <v>0</v>
      </c>
      <c r="U202" s="188">
        <f t="shared" si="22"/>
        <v>320</v>
      </c>
      <c r="V202" s="189">
        <f t="shared" si="23"/>
        <v>0.06956521739</v>
      </c>
      <c r="W202" s="190" t="str">
        <f t="shared" si="38"/>
        <v/>
      </c>
      <c r="X202" s="191" t="str">
        <f t="shared" si="39"/>
        <v>#VALUE!</v>
      </c>
      <c r="Y202" s="189" t="str">
        <f t="shared" si="40"/>
        <v>#REF!</v>
      </c>
      <c r="Z202" s="191" t="str">
        <f t="shared" si="8"/>
        <v/>
      </c>
      <c r="AA202" s="191">
        <f t="shared" si="9"/>
        <v>39</v>
      </c>
      <c r="AB202" s="70"/>
      <c r="AC202" s="175"/>
      <c r="AD202" s="177"/>
      <c r="AE202" s="175"/>
      <c r="AF202" s="180"/>
      <c r="AG202" s="180"/>
      <c r="AH202" s="180"/>
      <c r="AI202" s="180" t="str">
        <f t="shared" si="41"/>
        <v/>
      </c>
      <c r="AJ202" s="180"/>
      <c r="AK202" s="180"/>
      <c r="AL202" s="72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</row>
    <row r="203" ht="18.0" customHeight="1">
      <c r="A203" s="6"/>
      <c r="B203" s="217">
        <v>44760.0</v>
      </c>
      <c r="C203" s="176" t="s">
        <v>91</v>
      </c>
      <c r="D203" s="176" t="s">
        <v>104</v>
      </c>
      <c r="E203" s="176" t="s">
        <v>26</v>
      </c>
      <c r="F203" s="176" t="s">
        <v>27</v>
      </c>
      <c r="G203" s="216">
        <v>44792.0</v>
      </c>
      <c r="H203" s="179">
        <f>IFERROR(__xludf.DUMMYFUNCTION("GOOGLEFINANCE(D203,""price"")"),118.81)</f>
        <v>118.81</v>
      </c>
      <c r="I203" s="201">
        <v>57.0</v>
      </c>
      <c r="J203" s="181"/>
      <c r="K203" s="181"/>
      <c r="L203" s="181" t="str">
        <f t="shared" si="18"/>
        <v>Option Closed</v>
      </c>
      <c r="M203" s="212">
        <v>1.0</v>
      </c>
      <c r="N203" s="201">
        <v>1.55</v>
      </c>
      <c r="O203" s="183" t="s">
        <v>86</v>
      </c>
      <c r="P203" s="206"/>
      <c r="Q203" s="184"/>
      <c r="R203" s="185">
        <f t="shared" si="35"/>
        <v>0.155</v>
      </c>
      <c r="S203" s="186">
        <f t="shared" si="36"/>
        <v>155</v>
      </c>
      <c r="T203" s="187">
        <f t="shared" si="37"/>
        <v>0</v>
      </c>
      <c r="U203" s="188">
        <f t="shared" si="22"/>
        <v>155</v>
      </c>
      <c r="V203" s="189">
        <f t="shared" si="23"/>
        <v>0.02719298246</v>
      </c>
      <c r="W203" s="190" t="str">
        <f t="shared" si="38"/>
        <v/>
      </c>
      <c r="X203" s="191" t="str">
        <f t="shared" si="39"/>
        <v>#VALUE!</v>
      </c>
      <c r="Y203" s="189" t="str">
        <f t="shared" si="40"/>
        <v>#REF!</v>
      </c>
      <c r="Z203" s="191" t="str">
        <f t="shared" si="8"/>
        <v/>
      </c>
      <c r="AA203" s="191">
        <f t="shared" si="9"/>
        <v>32</v>
      </c>
      <c r="AB203" s="70"/>
      <c r="AC203" s="175"/>
      <c r="AD203" s="177"/>
      <c r="AE203" s="175"/>
      <c r="AF203" s="180"/>
      <c r="AG203" s="180"/>
      <c r="AH203" s="180"/>
      <c r="AI203" s="180" t="str">
        <f t="shared" si="41"/>
        <v/>
      </c>
      <c r="AJ203" s="180"/>
      <c r="AK203" s="180"/>
      <c r="AL203" s="72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</row>
    <row r="204" ht="18.0" customHeight="1">
      <c r="A204" s="6"/>
      <c r="B204" s="217">
        <v>44760.0</v>
      </c>
      <c r="C204" s="176" t="s">
        <v>91</v>
      </c>
      <c r="D204" s="176" t="s">
        <v>108</v>
      </c>
      <c r="E204" s="176" t="s">
        <v>26</v>
      </c>
      <c r="F204" s="176" t="s">
        <v>27</v>
      </c>
      <c r="G204" s="216">
        <v>44799.0</v>
      </c>
      <c r="H204" s="179">
        <f>IFERROR(__xludf.DUMMYFUNCTION("GOOGLEFINANCE(D204,""price"")"),4.96)</f>
        <v>4.96</v>
      </c>
      <c r="I204" s="201">
        <v>41.0</v>
      </c>
      <c r="J204" s="181"/>
      <c r="K204" s="181"/>
      <c r="L204" s="181" t="str">
        <f t="shared" si="18"/>
        <v>Option Closed</v>
      </c>
      <c r="M204" s="212">
        <v>1.0</v>
      </c>
      <c r="N204" s="201">
        <v>1.35</v>
      </c>
      <c r="O204" s="183" t="s">
        <v>86</v>
      </c>
      <c r="P204" s="206"/>
      <c r="Q204" s="184"/>
      <c r="R204" s="185">
        <f t="shared" si="35"/>
        <v>0.135</v>
      </c>
      <c r="S204" s="186">
        <f t="shared" si="36"/>
        <v>135</v>
      </c>
      <c r="T204" s="187">
        <f t="shared" si="37"/>
        <v>0</v>
      </c>
      <c r="U204" s="188">
        <f t="shared" si="22"/>
        <v>135</v>
      </c>
      <c r="V204" s="189">
        <f t="shared" si="23"/>
        <v>0.03292682927</v>
      </c>
      <c r="W204" s="190" t="str">
        <f t="shared" si="38"/>
        <v/>
      </c>
      <c r="X204" s="191" t="str">
        <f t="shared" si="39"/>
        <v>#VALUE!</v>
      </c>
      <c r="Y204" s="189" t="str">
        <f t="shared" si="40"/>
        <v>#REF!</v>
      </c>
      <c r="Z204" s="191" t="str">
        <f t="shared" si="8"/>
        <v/>
      </c>
      <c r="AA204" s="191">
        <f t="shared" si="9"/>
        <v>39</v>
      </c>
      <c r="AB204" s="70"/>
      <c r="AC204" s="175"/>
      <c r="AD204" s="177"/>
      <c r="AE204" s="175"/>
      <c r="AF204" s="180"/>
      <c r="AG204" s="180"/>
      <c r="AH204" s="180"/>
      <c r="AI204" s="180" t="str">
        <f t="shared" si="41"/>
        <v/>
      </c>
      <c r="AJ204" s="180"/>
      <c r="AK204" s="180"/>
      <c r="AL204" s="72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</row>
    <row r="205" ht="18.0" customHeight="1">
      <c r="A205" s="6"/>
      <c r="B205" s="217">
        <v>44770.0</v>
      </c>
      <c r="C205" s="176" t="s">
        <v>91</v>
      </c>
      <c r="D205" s="176" t="s">
        <v>110</v>
      </c>
      <c r="E205" s="176" t="s">
        <v>26</v>
      </c>
      <c r="F205" s="176" t="s">
        <v>27</v>
      </c>
      <c r="G205" s="216">
        <v>44820.0</v>
      </c>
      <c r="H205" s="179">
        <f>IFERROR(__xludf.DUMMYFUNCTION("GOOGLEFINANCE(D205,""price"")"),491.89)</f>
        <v>491.89</v>
      </c>
      <c r="I205" s="201">
        <v>305.0</v>
      </c>
      <c r="J205" s="181"/>
      <c r="K205" s="181"/>
      <c r="L205" s="181" t="str">
        <f t="shared" si="18"/>
        <v>Option Closed</v>
      </c>
      <c r="M205" s="212">
        <v>1.0</v>
      </c>
      <c r="N205" s="201">
        <v>8.0</v>
      </c>
      <c r="O205" s="183" t="s">
        <v>45</v>
      </c>
      <c r="P205" s="206">
        <v>44803.0</v>
      </c>
      <c r="Q205" s="184">
        <v>0.5</v>
      </c>
      <c r="R205" s="185">
        <f t="shared" si="35"/>
        <v>0.8</v>
      </c>
      <c r="S205" s="186">
        <f t="shared" si="36"/>
        <v>800</v>
      </c>
      <c r="T205" s="187">
        <f t="shared" si="37"/>
        <v>-50</v>
      </c>
      <c r="U205" s="188">
        <f t="shared" si="22"/>
        <v>750</v>
      </c>
      <c r="V205" s="189">
        <f t="shared" si="23"/>
        <v>0.0262295082</v>
      </c>
      <c r="W205" s="190" t="str">
        <f t="shared" si="38"/>
        <v/>
      </c>
      <c r="X205" s="191" t="str">
        <f t="shared" si="39"/>
        <v>#VALUE!</v>
      </c>
      <c r="Y205" s="189" t="str">
        <f t="shared" si="40"/>
        <v>#REF!</v>
      </c>
      <c r="Z205" s="191" t="str">
        <f t="shared" si="8"/>
        <v/>
      </c>
      <c r="AA205" s="191">
        <f t="shared" si="9"/>
        <v>33</v>
      </c>
      <c r="AB205" s="70"/>
      <c r="AC205" s="175"/>
      <c r="AD205" s="177"/>
      <c r="AE205" s="175"/>
      <c r="AF205" s="180"/>
      <c r="AG205" s="180"/>
      <c r="AH205" s="180"/>
      <c r="AI205" s="180" t="str">
        <f t="shared" si="41"/>
        <v/>
      </c>
      <c r="AJ205" s="180"/>
      <c r="AK205" s="180"/>
      <c r="AL205" s="72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</row>
    <row r="206" ht="18.0" customHeight="1">
      <c r="A206" s="6"/>
      <c r="B206" s="217">
        <v>44774.0</v>
      </c>
      <c r="C206" s="176" t="s">
        <v>91</v>
      </c>
      <c r="D206" s="176" t="s">
        <v>78</v>
      </c>
      <c r="E206" s="176" t="s">
        <v>26</v>
      </c>
      <c r="F206" s="176" t="s">
        <v>27</v>
      </c>
      <c r="G206" s="216">
        <v>44820.0</v>
      </c>
      <c r="H206" s="179">
        <f>IFERROR(__xludf.DUMMYFUNCTION("GOOGLEFINANCE(D206,""price"")"),720.66)</f>
        <v>720.66</v>
      </c>
      <c r="I206" s="201">
        <v>415.0</v>
      </c>
      <c r="J206" s="181"/>
      <c r="K206" s="181"/>
      <c r="L206" s="181" t="str">
        <f t="shared" si="18"/>
        <v>Option Closed</v>
      </c>
      <c r="M206" s="212">
        <v>8.0</v>
      </c>
      <c r="N206" s="201">
        <v>1.45</v>
      </c>
      <c r="O206" s="183" t="s">
        <v>45</v>
      </c>
      <c r="P206" s="206">
        <v>44803.0</v>
      </c>
      <c r="Q206" s="184">
        <v>0.1</v>
      </c>
      <c r="R206" s="185">
        <f t="shared" si="35"/>
        <v>0.145</v>
      </c>
      <c r="S206" s="186">
        <f t="shared" si="36"/>
        <v>1160</v>
      </c>
      <c r="T206" s="187">
        <f t="shared" si="37"/>
        <v>-80</v>
      </c>
      <c r="U206" s="188">
        <f t="shared" si="22"/>
        <v>1080</v>
      </c>
      <c r="V206" s="189">
        <f t="shared" si="23"/>
        <v>0.003493975904</v>
      </c>
      <c r="W206" s="190" t="str">
        <f t="shared" si="38"/>
        <v/>
      </c>
      <c r="X206" s="191" t="str">
        <f t="shared" si="39"/>
        <v>#VALUE!</v>
      </c>
      <c r="Y206" s="189" t="str">
        <f t="shared" si="40"/>
        <v>#REF!</v>
      </c>
      <c r="Z206" s="191" t="str">
        <f t="shared" si="8"/>
        <v/>
      </c>
      <c r="AA206" s="191">
        <f t="shared" si="9"/>
        <v>29</v>
      </c>
      <c r="AB206" s="70"/>
      <c r="AC206" s="175"/>
      <c r="AD206" s="177"/>
      <c r="AE206" s="175"/>
      <c r="AF206" s="180"/>
      <c r="AG206" s="180"/>
      <c r="AH206" s="180"/>
      <c r="AI206" s="180" t="str">
        <f t="shared" si="41"/>
        <v/>
      </c>
      <c r="AJ206" s="180"/>
      <c r="AK206" s="180"/>
      <c r="AL206" s="72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</row>
    <row r="207" ht="18.0" customHeight="1">
      <c r="A207" s="6"/>
      <c r="B207" s="217">
        <v>44802.0</v>
      </c>
      <c r="C207" s="176" t="s">
        <v>105</v>
      </c>
      <c r="D207" s="176" t="s">
        <v>104</v>
      </c>
      <c r="E207" s="176" t="s">
        <v>82</v>
      </c>
      <c r="F207" s="176" t="s">
        <v>27</v>
      </c>
      <c r="G207" s="216">
        <v>44820.0</v>
      </c>
      <c r="H207" s="179">
        <f>IFERROR(__xludf.DUMMYFUNCTION("GOOGLEFINANCE(D207,""price"")"),118.81)</f>
        <v>118.81</v>
      </c>
      <c r="I207" s="201">
        <v>53.0</v>
      </c>
      <c r="J207" s="181"/>
      <c r="K207" s="181"/>
      <c r="L207" s="181" t="str">
        <f t="shared" si="18"/>
        <v>Option Closed</v>
      </c>
      <c r="M207" s="212">
        <v>1.0</v>
      </c>
      <c r="N207" s="201">
        <v>2.05</v>
      </c>
      <c r="O207" s="183" t="s">
        <v>45</v>
      </c>
      <c r="P207" s="206"/>
      <c r="Q207" s="184"/>
      <c r="R207" s="185">
        <f t="shared" si="35"/>
        <v>0.205</v>
      </c>
      <c r="S207" s="186">
        <f t="shared" si="36"/>
        <v>205</v>
      </c>
      <c r="T207" s="187">
        <f t="shared" si="37"/>
        <v>0</v>
      </c>
      <c r="U207" s="188">
        <f t="shared" si="22"/>
        <v>205</v>
      </c>
      <c r="V207" s="189">
        <f t="shared" si="23"/>
        <v>0.03867924528</v>
      </c>
      <c r="W207" s="190" t="str">
        <f t="shared" si="38"/>
        <v/>
      </c>
      <c r="X207" s="191" t="str">
        <f t="shared" si="39"/>
        <v>#VALUE!</v>
      </c>
      <c r="Y207" s="189" t="str">
        <f t="shared" si="40"/>
        <v>#REF!</v>
      </c>
      <c r="Z207" s="191" t="str">
        <f t="shared" si="8"/>
        <v/>
      </c>
      <c r="AA207" s="191">
        <f t="shared" si="9"/>
        <v>18</v>
      </c>
      <c r="AB207" s="70"/>
      <c r="AC207" s="175"/>
      <c r="AD207" s="177"/>
      <c r="AE207" s="175"/>
      <c r="AF207" s="180"/>
      <c r="AG207" s="180"/>
      <c r="AH207" s="180"/>
      <c r="AI207" s="180" t="str">
        <f t="shared" si="41"/>
        <v/>
      </c>
      <c r="AJ207" s="180"/>
      <c r="AK207" s="180"/>
      <c r="AL207" s="72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</row>
    <row r="208" ht="18.0" customHeight="1">
      <c r="A208" s="6"/>
      <c r="B208" s="217">
        <v>44813.0</v>
      </c>
      <c r="C208" s="176" t="s">
        <v>91</v>
      </c>
      <c r="D208" s="176" t="s">
        <v>108</v>
      </c>
      <c r="E208" s="176" t="s">
        <v>26</v>
      </c>
      <c r="F208" s="176" t="s">
        <v>27</v>
      </c>
      <c r="G208" s="216">
        <v>44855.0</v>
      </c>
      <c r="H208" s="179">
        <f>IFERROR(__xludf.DUMMYFUNCTION("GOOGLEFINANCE(D208,""price"")"),4.96)</f>
        <v>4.96</v>
      </c>
      <c r="I208" s="201">
        <v>42.0</v>
      </c>
      <c r="J208" s="181"/>
      <c r="K208" s="181"/>
      <c r="L208" s="181" t="str">
        <f t="shared" si="18"/>
        <v>Option Closed</v>
      </c>
      <c r="M208" s="212">
        <v>1.0</v>
      </c>
      <c r="N208" s="201">
        <v>1.2</v>
      </c>
      <c r="O208" s="183" t="s">
        <v>45</v>
      </c>
      <c r="P208" s="206"/>
      <c r="Q208" s="184"/>
      <c r="R208" s="185">
        <f t="shared" si="35"/>
        <v>0.12</v>
      </c>
      <c r="S208" s="186">
        <f t="shared" si="36"/>
        <v>120</v>
      </c>
      <c r="T208" s="187">
        <f t="shared" si="37"/>
        <v>0</v>
      </c>
      <c r="U208" s="188">
        <f t="shared" si="22"/>
        <v>120</v>
      </c>
      <c r="V208" s="189">
        <f t="shared" si="23"/>
        <v>0.02857142857</v>
      </c>
      <c r="W208" s="190" t="str">
        <f t="shared" si="38"/>
        <v/>
      </c>
      <c r="X208" s="191" t="str">
        <f t="shared" si="39"/>
        <v>#VALUE!</v>
      </c>
      <c r="Y208" s="189" t="str">
        <f t="shared" si="40"/>
        <v>#REF!</v>
      </c>
      <c r="Z208" s="191" t="str">
        <f t="shared" si="8"/>
        <v/>
      </c>
      <c r="AA208" s="191">
        <f t="shared" si="9"/>
        <v>42</v>
      </c>
      <c r="AB208" s="70"/>
      <c r="AC208" s="175"/>
      <c r="AD208" s="177"/>
      <c r="AE208" s="175"/>
      <c r="AF208" s="180"/>
      <c r="AG208" s="180"/>
      <c r="AH208" s="180"/>
      <c r="AI208" s="180" t="str">
        <f t="shared" si="41"/>
        <v/>
      </c>
      <c r="AJ208" s="180"/>
      <c r="AK208" s="180"/>
      <c r="AL208" s="72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</row>
    <row r="209" ht="18.0" customHeight="1">
      <c r="A209" s="6"/>
      <c r="B209" s="217">
        <v>44813.0</v>
      </c>
      <c r="C209" s="176" t="s">
        <v>91</v>
      </c>
      <c r="D209" s="176" t="s">
        <v>100</v>
      </c>
      <c r="E209" s="176" t="s">
        <v>26</v>
      </c>
      <c r="F209" s="176" t="s">
        <v>27</v>
      </c>
      <c r="G209" s="216">
        <v>44855.0</v>
      </c>
      <c r="H209" s="179">
        <f>IFERROR(__xludf.DUMMYFUNCTION("GOOGLEFINANCE(D209,""price"")"),127.08)</f>
        <v>127.08</v>
      </c>
      <c r="I209" s="201">
        <v>59.0</v>
      </c>
      <c r="J209" s="181"/>
      <c r="K209" s="181"/>
      <c r="L209" s="181" t="str">
        <f t="shared" si="18"/>
        <v>Option Closed</v>
      </c>
      <c r="M209" s="212">
        <v>1.0</v>
      </c>
      <c r="N209" s="201">
        <v>2.0</v>
      </c>
      <c r="O209" s="183" t="s">
        <v>45</v>
      </c>
      <c r="P209" s="206"/>
      <c r="Q209" s="184"/>
      <c r="R209" s="185">
        <f t="shared" si="35"/>
        <v>0.2</v>
      </c>
      <c r="S209" s="186">
        <f t="shared" si="36"/>
        <v>200</v>
      </c>
      <c r="T209" s="187">
        <f t="shared" si="37"/>
        <v>0</v>
      </c>
      <c r="U209" s="188">
        <f t="shared" si="22"/>
        <v>200</v>
      </c>
      <c r="V209" s="189">
        <f t="shared" si="23"/>
        <v>0.03389830508</v>
      </c>
      <c r="W209" s="190" t="str">
        <f t="shared" si="38"/>
        <v/>
      </c>
      <c r="X209" s="191" t="str">
        <f t="shared" si="39"/>
        <v>#VALUE!</v>
      </c>
      <c r="Y209" s="189" t="str">
        <f t="shared" si="40"/>
        <v>#REF!</v>
      </c>
      <c r="Z209" s="191" t="str">
        <f t="shared" si="8"/>
        <v/>
      </c>
      <c r="AA209" s="191">
        <f t="shared" si="9"/>
        <v>42</v>
      </c>
      <c r="AB209" s="70"/>
      <c r="AC209" s="175"/>
      <c r="AD209" s="177"/>
      <c r="AE209" s="175"/>
      <c r="AF209" s="180"/>
      <c r="AG209" s="180"/>
      <c r="AH209" s="180"/>
      <c r="AI209" s="180" t="str">
        <f t="shared" si="41"/>
        <v/>
      </c>
      <c r="AJ209" s="180"/>
      <c r="AK209" s="180"/>
      <c r="AL209" s="72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</row>
    <row r="210" ht="18.0" customHeight="1">
      <c r="A210" s="6"/>
      <c r="B210" s="217">
        <v>44816.0</v>
      </c>
      <c r="C210" s="176" t="s">
        <v>91</v>
      </c>
      <c r="D210" s="176" t="s">
        <v>111</v>
      </c>
      <c r="E210" s="176" t="s">
        <v>26</v>
      </c>
      <c r="F210" s="176" t="s">
        <v>27</v>
      </c>
      <c r="G210" s="216">
        <v>44855.0</v>
      </c>
      <c r="H210" s="179">
        <f>IFERROR(__xludf.DUMMYFUNCTION("GOOGLEFINANCE(D210,""price"")"),327.92)</f>
        <v>327.92</v>
      </c>
      <c r="I210" s="201">
        <v>220.0</v>
      </c>
      <c r="J210" s="181"/>
      <c r="K210" s="181"/>
      <c r="L210" s="181" t="str">
        <f t="shared" si="18"/>
        <v>Option Closed</v>
      </c>
      <c r="M210" s="212">
        <v>5.0</v>
      </c>
      <c r="N210" s="201">
        <v>0.9</v>
      </c>
      <c r="O210" s="183" t="s">
        <v>45</v>
      </c>
      <c r="P210" s="206"/>
      <c r="Q210" s="184"/>
      <c r="R210" s="185">
        <f t="shared" si="35"/>
        <v>0.09</v>
      </c>
      <c r="S210" s="186">
        <f t="shared" si="36"/>
        <v>450</v>
      </c>
      <c r="T210" s="187">
        <f t="shared" si="37"/>
        <v>0</v>
      </c>
      <c r="U210" s="188">
        <f t="shared" si="22"/>
        <v>450</v>
      </c>
      <c r="V210" s="189">
        <f t="shared" si="23"/>
        <v>0.004090909091</v>
      </c>
      <c r="W210" s="190" t="str">
        <f t="shared" si="38"/>
        <v/>
      </c>
      <c r="X210" s="191" t="str">
        <f t="shared" si="39"/>
        <v>#VALUE!</v>
      </c>
      <c r="Y210" s="189" t="str">
        <f t="shared" si="40"/>
        <v>#REF!</v>
      </c>
      <c r="Z210" s="191" t="str">
        <f t="shared" si="8"/>
        <v/>
      </c>
      <c r="AA210" s="191">
        <f t="shared" si="9"/>
        <v>39</v>
      </c>
      <c r="AB210" s="70"/>
      <c r="AC210" s="175"/>
      <c r="AD210" s="177"/>
      <c r="AE210" s="175"/>
      <c r="AF210" s="180"/>
      <c r="AG210" s="180"/>
      <c r="AH210" s="180"/>
      <c r="AI210" s="180" t="str">
        <f t="shared" si="41"/>
        <v/>
      </c>
      <c r="AJ210" s="180"/>
      <c r="AK210" s="180"/>
      <c r="AL210" s="72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</row>
    <row r="211" ht="18.0" customHeight="1">
      <c r="A211" s="6"/>
      <c r="B211" s="217">
        <v>44816.0</v>
      </c>
      <c r="C211" s="176" t="s">
        <v>91</v>
      </c>
      <c r="D211" s="176" t="s">
        <v>79</v>
      </c>
      <c r="E211" s="176" t="s">
        <v>26</v>
      </c>
      <c r="F211" s="176" t="s">
        <v>27</v>
      </c>
      <c r="G211" s="216">
        <v>44855.0</v>
      </c>
      <c r="H211" s="179">
        <f>IFERROR(__xludf.DUMMYFUNCTION("GOOGLEFINANCE(D211,""price"")"),5.55)</f>
        <v>5.55</v>
      </c>
      <c r="I211" s="201">
        <v>25.0</v>
      </c>
      <c r="J211" s="181"/>
      <c r="K211" s="181"/>
      <c r="L211" s="181" t="str">
        <f t="shared" si="18"/>
        <v>Option Closed</v>
      </c>
      <c r="M211" s="212">
        <v>2.0</v>
      </c>
      <c r="N211" s="201">
        <v>0.6</v>
      </c>
      <c r="O211" s="183" t="s">
        <v>45</v>
      </c>
      <c r="P211" s="206"/>
      <c r="Q211" s="184"/>
      <c r="R211" s="185">
        <f t="shared" si="35"/>
        <v>0.06</v>
      </c>
      <c r="S211" s="186">
        <f t="shared" si="36"/>
        <v>120</v>
      </c>
      <c r="T211" s="187">
        <f t="shared" si="37"/>
        <v>0</v>
      </c>
      <c r="U211" s="188">
        <f t="shared" si="22"/>
        <v>120</v>
      </c>
      <c r="V211" s="189">
        <f t="shared" si="23"/>
        <v>0.024</v>
      </c>
      <c r="W211" s="190" t="str">
        <f t="shared" si="38"/>
        <v/>
      </c>
      <c r="X211" s="191" t="str">
        <f t="shared" si="39"/>
        <v>#VALUE!</v>
      </c>
      <c r="Y211" s="189" t="str">
        <f t="shared" si="40"/>
        <v>#REF!</v>
      </c>
      <c r="Z211" s="191" t="str">
        <f t="shared" si="8"/>
        <v/>
      </c>
      <c r="AA211" s="191">
        <f t="shared" si="9"/>
        <v>39</v>
      </c>
      <c r="AB211" s="70"/>
      <c r="AC211" s="175"/>
      <c r="AD211" s="177"/>
      <c r="AE211" s="175"/>
      <c r="AF211" s="180"/>
      <c r="AG211" s="180"/>
      <c r="AH211" s="180"/>
      <c r="AI211" s="180" t="str">
        <f t="shared" si="41"/>
        <v/>
      </c>
      <c r="AJ211" s="180"/>
      <c r="AK211" s="180"/>
      <c r="AL211" s="72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</row>
    <row r="212" ht="18.0" customHeight="1">
      <c r="A212" s="6"/>
      <c r="B212" s="217">
        <v>44820.0</v>
      </c>
      <c r="C212" s="176" t="s">
        <v>105</v>
      </c>
      <c r="D212" s="176" t="s">
        <v>111</v>
      </c>
      <c r="E212" s="176" t="s">
        <v>82</v>
      </c>
      <c r="F212" s="176" t="s">
        <v>27</v>
      </c>
      <c r="G212" s="216">
        <v>44855.0</v>
      </c>
      <c r="H212" s="179">
        <f>IFERROR(__xludf.DUMMYFUNCTION("GOOGLEFINANCE(D212,""price"")"),327.92)</f>
        <v>327.92</v>
      </c>
      <c r="I212" s="201">
        <v>190.0</v>
      </c>
      <c r="J212" s="181"/>
      <c r="K212" s="181"/>
      <c r="L212" s="181" t="str">
        <f t="shared" si="18"/>
        <v>Option Closed</v>
      </c>
      <c r="M212" s="212">
        <v>2.0</v>
      </c>
      <c r="N212" s="201">
        <v>5.0</v>
      </c>
      <c r="O212" s="183" t="s">
        <v>45</v>
      </c>
      <c r="P212" s="206"/>
      <c r="Q212" s="184"/>
      <c r="R212" s="185">
        <f t="shared" si="35"/>
        <v>0.5</v>
      </c>
      <c r="S212" s="186">
        <f t="shared" si="36"/>
        <v>1000</v>
      </c>
      <c r="T212" s="187">
        <f t="shared" si="37"/>
        <v>0</v>
      </c>
      <c r="U212" s="188">
        <f t="shared" si="22"/>
        <v>1000</v>
      </c>
      <c r="V212" s="189">
        <f t="shared" si="23"/>
        <v>0.02631578947</v>
      </c>
      <c r="W212" s="190" t="str">
        <f t="shared" si="38"/>
        <v/>
      </c>
      <c r="X212" s="191" t="str">
        <f t="shared" si="39"/>
        <v>#VALUE!</v>
      </c>
      <c r="Y212" s="189" t="str">
        <f t="shared" si="40"/>
        <v>#REF!</v>
      </c>
      <c r="Z212" s="191" t="str">
        <f t="shared" si="8"/>
        <v/>
      </c>
      <c r="AA212" s="191">
        <f t="shared" si="9"/>
        <v>35</v>
      </c>
      <c r="AB212" s="70"/>
      <c r="AC212" s="175"/>
      <c r="AD212" s="177"/>
      <c r="AE212" s="175"/>
      <c r="AF212" s="180"/>
      <c r="AG212" s="180"/>
      <c r="AH212" s="180"/>
      <c r="AI212" s="180" t="str">
        <f t="shared" si="41"/>
        <v/>
      </c>
      <c r="AJ212" s="180"/>
      <c r="AK212" s="180"/>
      <c r="AL212" s="72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</row>
    <row r="213" ht="18.0" customHeight="1">
      <c r="A213" s="6"/>
      <c r="B213" s="217">
        <v>44859.0</v>
      </c>
      <c r="C213" s="176" t="s">
        <v>91</v>
      </c>
      <c r="D213" s="176" t="s">
        <v>111</v>
      </c>
      <c r="E213" s="176" t="s">
        <v>26</v>
      </c>
      <c r="F213" s="176" t="s">
        <v>27</v>
      </c>
      <c r="G213" s="216">
        <v>44883.0</v>
      </c>
      <c r="H213" s="179">
        <f>IFERROR(__xludf.DUMMYFUNCTION("GOOGLEFINANCE(D213,""price"")"),327.92)</f>
        <v>327.92</v>
      </c>
      <c r="I213" s="201">
        <v>195.0</v>
      </c>
      <c r="J213" s="181"/>
      <c r="K213" s="181"/>
      <c r="L213" s="181" t="str">
        <f t="shared" si="18"/>
        <v>Option Closed</v>
      </c>
      <c r="M213" s="212">
        <v>2.0</v>
      </c>
      <c r="N213" s="201">
        <v>5.0</v>
      </c>
      <c r="O213" s="183" t="s">
        <v>83</v>
      </c>
      <c r="P213" s="206"/>
      <c r="Q213" s="184"/>
      <c r="R213" s="185">
        <f t="shared" si="35"/>
        <v>0.5</v>
      </c>
      <c r="S213" s="186">
        <f t="shared" si="36"/>
        <v>1000</v>
      </c>
      <c r="T213" s="187">
        <f t="shared" si="37"/>
        <v>0</v>
      </c>
      <c r="U213" s="188">
        <f t="shared" si="22"/>
        <v>1000</v>
      </c>
      <c r="V213" s="189">
        <f t="shared" si="23"/>
        <v>0.02564102564</v>
      </c>
      <c r="W213" s="190" t="str">
        <f t="shared" si="38"/>
        <v/>
      </c>
      <c r="X213" s="191" t="str">
        <f t="shared" si="39"/>
        <v>#VALUE!</v>
      </c>
      <c r="Y213" s="189" t="str">
        <f t="shared" si="40"/>
        <v>#REF!</v>
      </c>
      <c r="Z213" s="191" t="str">
        <f t="shared" si="8"/>
        <v/>
      </c>
      <c r="AA213" s="191">
        <f t="shared" si="9"/>
        <v>24</v>
      </c>
      <c r="AB213" s="70"/>
      <c r="AC213" s="175"/>
      <c r="AD213" s="177"/>
      <c r="AE213" s="175"/>
      <c r="AF213" s="180"/>
      <c r="AG213" s="180"/>
      <c r="AH213" s="180"/>
      <c r="AI213" s="180" t="str">
        <f t="shared" si="41"/>
        <v/>
      </c>
      <c r="AJ213" s="180"/>
      <c r="AK213" s="180"/>
      <c r="AL213" s="72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</row>
    <row r="214" ht="18.0" customHeight="1">
      <c r="A214" s="6"/>
      <c r="B214" s="217">
        <v>44859.0</v>
      </c>
      <c r="C214" s="176" t="s">
        <v>91</v>
      </c>
      <c r="D214" s="176" t="s">
        <v>112</v>
      </c>
      <c r="E214" s="176" t="s">
        <v>26</v>
      </c>
      <c r="F214" s="176" t="s">
        <v>27</v>
      </c>
      <c r="G214" s="216">
        <v>44869.0</v>
      </c>
      <c r="H214" s="179">
        <f>IFERROR(__xludf.DUMMYFUNCTION("GOOGLEFINANCE(D214,""price"")"),395.01)</f>
        <v>395.01</v>
      </c>
      <c r="I214" s="201">
        <v>250.0</v>
      </c>
      <c r="J214" s="181"/>
      <c r="K214" s="181"/>
      <c r="L214" s="181" t="str">
        <f t="shared" si="18"/>
        <v>Option Closed</v>
      </c>
      <c r="M214" s="212">
        <v>1.0</v>
      </c>
      <c r="N214" s="201">
        <v>2.0</v>
      </c>
      <c r="O214" s="183" t="s">
        <v>86</v>
      </c>
      <c r="P214" s="206"/>
      <c r="Q214" s="184"/>
      <c r="R214" s="185">
        <f t="shared" si="35"/>
        <v>0.2</v>
      </c>
      <c r="S214" s="186">
        <f t="shared" si="36"/>
        <v>200</v>
      </c>
      <c r="T214" s="187">
        <f t="shared" si="37"/>
        <v>0</v>
      </c>
      <c r="U214" s="188">
        <f t="shared" si="22"/>
        <v>200</v>
      </c>
      <c r="V214" s="189">
        <f t="shared" si="23"/>
        <v>0.008</v>
      </c>
      <c r="W214" s="190" t="str">
        <f t="shared" si="38"/>
        <v/>
      </c>
      <c r="X214" s="191" t="str">
        <f t="shared" si="39"/>
        <v>#VALUE!</v>
      </c>
      <c r="Y214" s="189" t="str">
        <f t="shared" si="40"/>
        <v>#REF!</v>
      </c>
      <c r="Z214" s="191" t="str">
        <f t="shared" si="8"/>
        <v/>
      </c>
      <c r="AA214" s="191">
        <f t="shared" si="9"/>
        <v>10</v>
      </c>
      <c r="AB214" s="70"/>
      <c r="AC214" s="175"/>
      <c r="AD214" s="177"/>
      <c r="AE214" s="175"/>
      <c r="AF214" s="180"/>
      <c r="AG214" s="180"/>
      <c r="AH214" s="180"/>
      <c r="AI214" s="180" t="str">
        <f t="shared" si="41"/>
        <v/>
      </c>
      <c r="AJ214" s="180"/>
      <c r="AK214" s="180"/>
      <c r="AL214" s="72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</row>
    <row r="215" ht="18.0" customHeight="1">
      <c r="A215" s="6"/>
      <c r="B215" s="217">
        <v>44862.0</v>
      </c>
      <c r="C215" s="176" t="s">
        <v>91</v>
      </c>
      <c r="D215" s="176" t="s">
        <v>110</v>
      </c>
      <c r="E215" s="176" t="s">
        <v>26</v>
      </c>
      <c r="F215" s="176" t="s">
        <v>27</v>
      </c>
      <c r="G215" s="216">
        <v>44890.0</v>
      </c>
      <c r="H215" s="179">
        <f>IFERROR(__xludf.DUMMYFUNCTION("GOOGLEFINANCE(D215,""price"")"),491.89)</f>
        <v>491.89</v>
      </c>
      <c r="I215" s="201">
        <v>305.0</v>
      </c>
      <c r="J215" s="181"/>
      <c r="K215" s="181"/>
      <c r="L215" s="181" t="str">
        <f t="shared" si="18"/>
        <v>Option Closed</v>
      </c>
      <c r="M215" s="212">
        <v>1.0</v>
      </c>
      <c r="N215" s="201">
        <v>5.0</v>
      </c>
      <c r="O215" s="183" t="s">
        <v>83</v>
      </c>
      <c r="P215" s="206"/>
      <c r="Q215" s="184"/>
      <c r="R215" s="185">
        <f t="shared" si="35"/>
        <v>0.5</v>
      </c>
      <c r="S215" s="186">
        <f t="shared" si="36"/>
        <v>500</v>
      </c>
      <c r="T215" s="187">
        <f t="shared" si="37"/>
        <v>0</v>
      </c>
      <c r="U215" s="188">
        <f t="shared" si="22"/>
        <v>500</v>
      </c>
      <c r="V215" s="189">
        <f t="shared" si="23"/>
        <v>0.01639344262</v>
      </c>
      <c r="W215" s="190" t="str">
        <f t="shared" si="38"/>
        <v/>
      </c>
      <c r="X215" s="191" t="str">
        <f t="shared" si="39"/>
        <v>#VALUE!</v>
      </c>
      <c r="Y215" s="189" t="str">
        <f t="shared" si="40"/>
        <v>#REF!</v>
      </c>
      <c r="Z215" s="191" t="str">
        <f t="shared" si="8"/>
        <v/>
      </c>
      <c r="AA215" s="191">
        <f t="shared" si="9"/>
        <v>28</v>
      </c>
      <c r="AB215" s="70"/>
      <c r="AC215" s="175"/>
      <c r="AD215" s="177"/>
      <c r="AE215" s="175"/>
      <c r="AF215" s="180"/>
      <c r="AG215" s="180"/>
      <c r="AH215" s="180"/>
      <c r="AI215" s="180" t="str">
        <f t="shared" si="41"/>
        <v/>
      </c>
      <c r="AJ215" s="180"/>
      <c r="AK215" s="180"/>
      <c r="AL215" s="72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</row>
    <row r="216" ht="18.0" customHeight="1">
      <c r="A216" s="6"/>
      <c r="B216" s="217">
        <v>44880.0</v>
      </c>
      <c r="C216" s="176" t="s">
        <v>91</v>
      </c>
      <c r="D216" s="176" t="s">
        <v>99</v>
      </c>
      <c r="E216" s="176" t="s">
        <v>26</v>
      </c>
      <c r="F216" s="176" t="s">
        <v>27</v>
      </c>
      <c r="G216" s="216">
        <v>44911.0</v>
      </c>
      <c r="H216" s="179">
        <f>IFERROR(__xludf.DUMMYFUNCTION("GOOGLEFINANCE(D216,""price"")"),365.93)</f>
        <v>365.93</v>
      </c>
      <c r="I216" s="201">
        <v>260.0</v>
      </c>
      <c r="J216" s="181"/>
      <c r="K216" s="181"/>
      <c r="L216" s="181" t="str">
        <f t="shared" si="18"/>
        <v>Option Closed</v>
      </c>
      <c r="M216" s="212">
        <v>1.0</v>
      </c>
      <c r="N216" s="201">
        <v>4.5</v>
      </c>
      <c r="O216" s="183" t="s">
        <v>86</v>
      </c>
      <c r="P216" s="206"/>
      <c r="Q216" s="184"/>
      <c r="R216" s="185">
        <f t="shared" si="35"/>
        <v>0.45</v>
      </c>
      <c r="S216" s="186">
        <f t="shared" si="36"/>
        <v>450</v>
      </c>
      <c r="T216" s="187">
        <f t="shared" si="37"/>
        <v>0</v>
      </c>
      <c r="U216" s="188">
        <f t="shared" si="22"/>
        <v>450</v>
      </c>
      <c r="V216" s="189">
        <f t="shared" si="23"/>
        <v>0.01730769231</v>
      </c>
      <c r="W216" s="190" t="str">
        <f t="shared" si="38"/>
        <v/>
      </c>
      <c r="X216" s="191" t="str">
        <f t="shared" si="39"/>
        <v>#VALUE!</v>
      </c>
      <c r="Y216" s="189" t="str">
        <f t="shared" si="40"/>
        <v>#REF!</v>
      </c>
      <c r="Z216" s="191" t="str">
        <f t="shared" si="8"/>
        <v/>
      </c>
      <c r="AA216" s="191">
        <f t="shared" si="9"/>
        <v>31</v>
      </c>
      <c r="AB216" s="70"/>
      <c r="AC216" s="175"/>
      <c r="AD216" s="177"/>
      <c r="AE216" s="175"/>
      <c r="AF216" s="180"/>
      <c r="AG216" s="180"/>
      <c r="AH216" s="180"/>
      <c r="AI216" s="180" t="str">
        <f t="shared" si="41"/>
        <v/>
      </c>
      <c r="AJ216" s="180"/>
      <c r="AK216" s="180"/>
      <c r="AL216" s="72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</row>
    <row r="217" ht="18.0" customHeight="1">
      <c r="A217" s="6"/>
      <c r="B217" s="217">
        <v>44914.0</v>
      </c>
      <c r="C217" s="176" t="s">
        <v>105</v>
      </c>
      <c r="D217" s="176" t="s">
        <v>110</v>
      </c>
      <c r="E217" s="176" t="s">
        <v>82</v>
      </c>
      <c r="F217" s="176" t="s">
        <v>27</v>
      </c>
      <c r="G217" s="216">
        <v>44947.0</v>
      </c>
      <c r="H217" s="179">
        <f>IFERROR(__xludf.DUMMYFUNCTION("GOOGLEFINANCE(D217,""price"")"),491.89)</f>
        <v>491.89</v>
      </c>
      <c r="I217" s="201">
        <v>295.0</v>
      </c>
      <c r="J217" s="181"/>
      <c r="K217" s="181"/>
      <c r="L217" s="181" t="str">
        <f t="shared" si="18"/>
        <v>Option Closed</v>
      </c>
      <c r="M217" s="212">
        <v>1.0</v>
      </c>
      <c r="N217" s="201">
        <v>5.0</v>
      </c>
      <c r="O217" s="183" t="s">
        <v>45</v>
      </c>
      <c r="P217" s="206"/>
      <c r="Q217" s="184"/>
      <c r="R217" s="185">
        <f t="shared" si="35"/>
        <v>0.5</v>
      </c>
      <c r="S217" s="186">
        <f t="shared" si="36"/>
        <v>500</v>
      </c>
      <c r="T217" s="187">
        <f t="shared" si="37"/>
        <v>0</v>
      </c>
      <c r="U217" s="188">
        <f t="shared" si="22"/>
        <v>500</v>
      </c>
      <c r="V217" s="189">
        <f t="shared" si="23"/>
        <v>0.01694915254</v>
      </c>
      <c r="W217" s="190" t="str">
        <f t="shared" si="38"/>
        <v/>
      </c>
      <c r="X217" s="191" t="str">
        <f t="shared" si="39"/>
        <v>#VALUE!</v>
      </c>
      <c r="Y217" s="189" t="str">
        <f t="shared" si="40"/>
        <v>#REF!</v>
      </c>
      <c r="Z217" s="191" t="str">
        <f t="shared" si="8"/>
        <v/>
      </c>
      <c r="AA217" s="191">
        <f t="shared" si="9"/>
        <v>33</v>
      </c>
      <c r="AB217" s="70"/>
      <c r="AC217" s="175"/>
      <c r="AD217" s="177"/>
      <c r="AE217" s="175"/>
      <c r="AF217" s="180"/>
      <c r="AG217" s="180"/>
      <c r="AH217" s="180"/>
      <c r="AI217" s="180" t="str">
        <f t="shared" si="41"/>
        <v/>
      </c>
      <c r="AJ217" s="180"/>
      <c r="AK217" s="180"/>
      <c r="AL217" s="72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</row>
    <row r="218" ht="18.0" customHeight="1">
      <c r="A218" s="6"/>
      <c r="B218" s="217">
        <v>44914.0</v>
      </c>
      <c r="C218" s="176" t="s">
        <v>105</v>
      </c>
      <c r="D218" s="176" t="s">
        <v>111</v>
      </c>
      <c r="E218" s="176" t="s">
        <v>82</v>
      </c>
      <c r="F218" s="176" t="s">
        <v>27</v>
      </c>
      <c r="G218" s="216">
        <v>44942.0</v>
      </c>
      <c r="H218" s="179">
        <f>IFERROR(__xludf.DUMMYFUNCTION("GOOGLEFINANCE(D218,""price"")"),327.92)</f>
        <v>327.92</v>
      </c>
      <c r="I218" s="201">
        <v>187.0</v>
      </c>
      <c r="J218" s="181"/>
      <c r="K218" s="181"/>
      <c r="L218" s="181" t="str">
        <f t="shared" si="18"/>
        <v>Option Closed</v>
      </c>
      <c r="M218" s="212">
        <v>2.0</v>
      </c>
      <c r="N218" s="201">
        <v>4.5</v>
      </c>
      <c r="O218" s="183" t="s">
        <v>45</v>
      </c>
      <c r="P218" s="206"/>
      <c r="Q218" s="184"/>
      <c r="R218" s="185">
        <f t="shared" si="35"/>
        <v>0.45</v>
      </c>
      <c r="S218" s="186">
        <f t="shared" si="36"/>
        <v>900</v>
      </c>
      <c r="T218" s="187">
        <f t="shared" si="37"/>
        <v>0</v>
      </c>
      <c r="U218" s="188">
        <f t="shared" si="22"/>
        <v>900</v>
      </c>
      <c r="V218" s="189">
        <f t="shared" si="23"/>
        <v>0.02406417112</v>
      </c>
      <c r="W218" s="190" t="str">
        <f t="shared" si="38"/>
        <v/>
      </c>
      <c r="X218" s="191" t="str">
        <f t="shared" si="39"/>
        <v>#VALUE!</v>
      </c>
      <c r="Y218" s="189" t="str">
        <f t="shared" si="40"/>
        <v>#REF!</v>
      </c>
      <c r="Z218" s="191" t="str">
        <f t="shared" si="8"/>
        <v/>
      </c>
      <c r="AA218" s="191">
        <f t="shared" si="9"/>
        <v>28</v>
      </c>
      <c r="AB218" s="70"/>
      <c r="AC218" s="175"/>
      <c r="AD218" s="177"/>
      <c r="AE218" s="175"/>
      <c r="AF218" s="180"/>
      <c r="AG218" s="180"/>
      <c r="AH218" s="180"/>
      <c r="AI218" s="180" t="str">
        <f t="shared" si="41"/>
        <v/>
      </c>
      <c r="AJ218" s="180"/>
      <c r="AK218" s="180"/>
      <c r="AL218" s="72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</row>
    <row r="219" ht="18.0" customHeight="1">
      <c r="A219" s="6"/>
      <c r="B219" s="217">
        <v>44943.0</v>
      </c>
      <c r="C219" s="176" t="s">
        <v>91</v>
      </c>
      <c r="D219" s="176" t="s">
        <v>99</v>
      </c>
      <c r="E219" s="176" t="s">
        <v>26</v>
      </c>
      <c r="F219" s="176" t="s">
        <v>27</v>
      </c>
      <c r="G219" s="216">
        <v>44974.0</v>
      </c>
      <c r="H219" s="179">
        <f>IFERROR(__xludf.DUMMYFUNCTION("GOOGLEFINANCE(D219,""price"")"),365.93)</f>
        <v>365.93</v>
      </c>
      <c r="I219" s="201">
        <v>255.0</v>
      </c>
      <c r="J219" s="181"/>
      <c r="K219" s="181"/>
      <c r="L219" s="181" t="str">
        <f t="shared" si="18"/>
        <v>Option Closed</v>
      </c>
      <c r="M219" s="212">
        <v>3.0</v>
      </c>
      <c r="N219" s="201">
        <v>1.8</v>
      </c>
      <c r="O219" s="183" t="s">
        <v>45</v>
      </c>
      <c r="P219" s="206"/>
      <c r="Q219" s="184">
        <v>0.9</v>
      </c>
      <c r="R219" s="185">
        <f t="shared" si="35"/>
        <v>0.18</v>
      </c>
      <c r="S219" s="186">
        <f t="shared" si="36"/>
        <v>540</v>
      </c>
      <c r="T219" s="187">
        <f t="shared" si="37"/>
        <v>-270</v>
      </c>
      <c r="U219" s="188">
        <f t="shared" si="22"/>
        <v>270</v>
      </c>
      <c r="V219" s="189">
        <f t="shared" si="23"/>
        <v>0.007058823529</v>
      </c>
      <c r="W219" s="190" t="str">
        <f t="shared" si="38"/>
        <v/>
      </c>
      <c r="X219" s="191" t="str">
        <f t="shared" si="39"/>
        <v>#VALUE!</v>
      </c>
      <c r="Y219" s="189" t="str">
        <f t="shared" si="40"/>
        <v>#REF!</v>
      </c>
      <c r="Z219" s="191" t="str">
        <f t="shared" si="8"/>
        <v/>
      </c>
      <c r="AA219" s="191">
        <f t="shared" si="9"/>
        <v>31</v>
      </c>
      <c r="AB219" s="70"/>
      <c r="AC219" s="175"/>
      <c r="AD219" s="177"/>
      <c r="AE219" s="175"/>
      <c r="AF219" s="180"/>
      <c r="AG219" s="180"/>
      <c r="AH219" s="180"/>
      <c r="AI219" s="180" t="str">
        <f t="shared" si="41"/>
        <v/>
      </c>
      <c r="AJ219" s="180"/>
      <c r="AK219" s="180"/>
      <c r="AL219" s="72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</row>
    <row r="220" ht="18.0" customHeight="1">
      <c r="A220" s="6"/>
      <c r="B220" s="217">
        <v>44939.0</v>
      </c>
      <c r="C220" s="176" t="s">
        <v>91</v>
      </c>
      <c r="D220" s="176" t="s">
        <v>78</v>
      </c>
      <c r="E220" s="176" t="s">
        <v>26</v>
      </c>
      <c r="F220" s="176" t="s">
        <v>27</v>
      </c>
      <c r="G220" s="216">
        <v>44974.0</v>
      </c>
      <c r="H220" s="179">
        <f>IFERROR(__xludf.DUMMYFUNCTION("GOOGLEFINANCE(D220,""price"")"),720.66)</f>
        <v>720.66</v>
      </c>
      <c r="I220" s="201">
        <v>365.0</v>
      </c>
      <c r="J220" s="181"/>
      <c r="K220" s="181"/>
      <c r="L220" s="181" t="str">
        <f t="shared" si="18"/>
        <v>Option Closed</v>
      </c>
      <c r="M220" s="212">
        <v>8.0</v>
      </c>
      <c r="N220" s="201">
        <v>1.0</v>
      </c>
      <c r="O220" s="183" t="s">
        <v>45</v>
      </c>
      <c r="P220" s="206"/>
      <c r="Q220" s="184">
        <v>0.4</v>
      </c>
      <c r="R220" s="185">
        <f t="shared" si="35"/>
        <v>0.1</v>
      </c>
      <c r="S220" s="186">
        <f t="shared" si="36"/>
        <v>800</v>
      </c>
      <c r="T220" s="187">
        <f t="shared" si="37"/>
        <v>-320</v>
      </c>
      <c r="U220" s="188">
        <f t="shared" si="22"/>
        <v>480</v>
      </c>
      <c r="V220" s="189">
        <f t="shared" si="23"/>
        <v>0.002739726027</v>
      </c>
      <c r="W220" s="190" t="str">
        <f t="shared" si="38"/>
        <v/>
      </c>
      <c r="X220" s="191" t="str">
        <f t="shared" si="39"/>
        <v>#VALUE!</v>
      </c>
      <c r="Y220" s="189" t="str">
        <f t="shared" si="40"/>
        <v>#REF!</v>
      </c>
      <c r="Z220" s="191" t="str">
        <f t="shared" si="8"/>
        <v/>
      </c>
      <c r="AA220" s="191">
        <f t="shared" si="9"/>
        <v>35</v>
      </c>
      <c r="AB220" s="70"/>
      <c r="AC220" s="175"/>
      <c r="AD220" s="177"/>
      <c r="AE220" s="175"/>
      <c r="AF220" s="180"/>
      <c r="AG220" s="180"/>
      <c r="AH220" s="180"/>
      <c r="AI220" s="180" t="str">
        <f t="shared" si="41"/>
        <v/>
      </c>
      <c r="AJ220" s="180"/>
      <c r="AK220" s="180"/>
      <c r="AL220" s="72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</row>
    <row r="221" ht="18.0" customHeight="1">
      <c r="A221" s="6"/>
      <c r="B221" s="217">
        <v>44953.0</v>
      </c>
      <c r="C221" s="176" t="s">
        <v>91</v>
      </c>
      <c r="D221" s="176" t="s">
        <v>100</v>
      </c>
      <c r="E221" s="176" t="s">
        <v>26</v>
      </c>
      <c r="F221" s="176" t="s">
        <v>27</v>
      </c>
      <c r="G221" s="216">
        <v>44974.0</v>
      </c>
      <c r="H221" s="179">
        <f>IFERROR(__xludf.DUMMYFUNCTION("GOOGLEFINANCE(D221,""price"")"),127.08)</f>
        <v>127.08</v>
      </c>
      <c r="I221" s="201">
        <v>51.0</v>
      </c>
      <c r="J221" s="181"/>
      <c r="K221" s="181"/>
      <c r="L221" s="181" t="str">
        <f t="shared" si="18"/>
        <v>Option Closed</v>
      </c>
      <c r="M221" s="212">
        <v>1.0</v>
      </c>
      <c r="N221" s="201">
        <v>1.0</v>
      </c>
      <c r="O221" s="183" t="s">
        <v>86</v>
      </c>
      <c r="P221" s="206"/>
      <c r="Q221" s="184"/>
      <c r="R221" s="185">
        <f t="shared" si="35"/>
        <v>0.1</v>
      </c>
      <c r="S221" s="186">
        <f t="shared" si="36"/>
        <v>100</v>
      </c>
      <c r="T221" s="187">
        <f t="shared" si="37"/>
        <v>0</v>
      </c>
      <c r="U221" s="188">
        <f t="shared" si="22"/>
        <v>100</v>
      </c>
      <c r="V221" s="189">
        <f t="shared" si="23"/>
        <v>0.01960784314</v>
      </c>
      <c r="W221" s="190" t="str">
        <f t="shared" si="38"/>
        <v/>
      </c>
      <c r="X221" s="191" t="str">
        <f t="shared" si="39"/>
        <v>#VALUE!</v>
      </c>
      <c r="Y221" s="189" t="str">
        <f t="shared" si="40"/>
        <v>#REF!</v>
      </c>
      <c r="Z221" s="191" t="str">
        <f t="shared" si="8"/>
        <v/>
      </c>
      <c r="AA221" s="191">
        <f t="shared" si="9"/>
        <v>21</v>
      </c>
      <c r="AB221" s="70"/>
      <c r="AC221" s="175"/>
      <c r="AD221" s="177"/>
      <c r="AE221" s="175"/>
      <c r="AF221" s="180"/>
      <c r="AG221" s="180"/>
      <c r="AH221" s="180"/>
      <c r="AI221" s="180" t="str">
        <f t="shared" si="41"/>
        <v/>
      </c>
      <c r="AJ221" s="180"/>
      <c r="AK221" s="180"/>
      <c r="AL221" s="72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</row>
    <row r="222" ht="18.0" customHeight="1">
      <c r="A222" s="6"/>
      <c r="B222" s="217">
        <v>44951.0</v>
      </c>
      <c r="C222" s="176" t="s">
        <v>91</v>
      </c>
      <c r="D222" s="176" t="s">
        <v>112</v>
      </c>
      <c r="E222" s="176" t="s">
        <v>26</v>
      </c>
      <c r="F222" s="176" t="s">
        <v>27</v>
      </c>
      <c r="G222" s="216">
        <v>44953.0</v>
      </c>
      <c r="H222" s="179">
        <f>IFERROR(__xludf.DUMMYFUNCTION("GOOGLEFINANCE(D222,""price"")"),395.01)</f>
        <v>395.01</v>
      </c>
      <c r="I222" s="201">
        <v>165.0</v>
      </c>
      <c r="J222" s="181"/>
      <c r="K222" s="181"/>
      <c r="L222" s="181" t="str">
        <f t="shared" si="18"/>
        <v>Option Closed</v>
      </c>
      <c r="M222" s="212">
        <v>1.0</v>
      </c>
      <c r="N222" s="201">
        <v>1.5</v>
      </c>
      <c r="O222" s="183" t="s">
        <v>98</v>
      </c>
      <c r="P222" s="206"/>
      <c r="Q222" s="184"/>
      <c r="R222" s="185">
        <f t="shared" si="35"/>
        <v>0.15</v>
      </c>
      <c r="S222" s="186">
        <f t="shared" si="36"/>
        <v>150</v>
      </c>
      <c r="T222" s="187">
        <f t="shared" si="37"/>
        <v>0</v>
      </c>
      <c r="U222" s="188">
        <f t="shared" si="22"/>
        <v>150</v>
      </c>
      <c r="V222" s="189">
        <f t="shared" si="23"/>
        <v>0.009090909091</v>
      </c>
      <c r="W222" s="190" t="str">
        <f t="shared" si="38"/>
        <v/>
      </c>
      <c r="X222" s="191" t="str">
        <f t="shared" si="39"/>
        <v>#VALUE!</v>
      </c>
      <c r="Y222" s="189" t="str">
        <f t="shared" si="40"/>
        <v>#REF!</v>
      </c>
      <c r="Z222" s="191" t="str">
        <f t="shared" si="8"/>
        <v/>
      </c>
      <c r="AA222" s="191">
        <f t="shared" si="9"/>
        <v>2</v>
      </c>
      <c r="AB222" s="70"/>
      <c r="AC222" s="175"/>
      <c r="AD222" s="177"/>
      <c r="AE222" s="175"/>
      <c r="AF222" s="180"/>
      <c r="AG222" s="180"/>
      <c r="AH222" s="180"/>
      <c r="AI222" s="180" t="str">
        <f t="shared" si="41"/>
        <v/>
      </c>
      <c r="AJ222" s="180"/>
      <c r="AK222" s="180"/>
      <c r="AL222" s="72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</row>
    <row r="223" ht="18.0" customHeight="1">
      <c r="A223" s="6"/>
      <c r="B223" s="217">
        <v>44967.0</v>
      </c>
      <c r="C223" s="176" t="s">
        <v>91</v>
      </c>
      <c r="D223" s="176" t="s">
        <v>112</v>
      </c>
      <c r="E223" s="176" t="s">
        <v>26</v>
      </c>
      <c r="F223" s="176" t="s">
        <v>27</v>
      </c>
      <c r="G223" s="216">
        <v>44995.0</v>
      </c>
      <c r="H223" s="179">
        <f>IFERROR(__xludf.DUMMYFUNCTION("GOOGLEFINANCE(D223,""price"")"),395.01)</f>
        <v>395.01</v>
      </c>
      <c r="I223" s="201">
        <v>180.0</v>
      </c>
      <c r="J223" s="181"/>
      <c r="K223" s="181"/>
      <c r="L223" s="181" t="str">
        <f t="shared" si="18"/>
        <v>Option Closed</v>
      </c>
      <c r="M223" s="212">
        <v>1.0</v>
      </c>
      <c r="N223" s="201">
        <v>1.5</v>
      </c>
      <c r="O223" s="183" t="s">
        <v>98</v>
      </c>
      <c r="P223" s="206"/>
      <c r="Q223" s="184"/>
      <c r="R223" s="185">
        <f t="shared" si="35"/>
        <v>0.15</v>
      </c>
      <c r="S223" s="186">
        <f t="shared" si="36"/>
        <v>150</v>
      </c>
      <c r="T223" s="187">
        <f t="shared" si="37"/>
        <v>0</v>
      </c>
      <c r="U223" s="188">
        <f t="shared" si="22"/>
        <v>150</v>
      </c>
      <c r="V223" s="189">
        <f t="shared" si="23"/>
        <v>0.008333333333</v>
      </c>
      <c r="W223" s="190" t="str">
        <f t="shared" si="38"/>
        <v/>
      </c>
      <c r="X223" s="191" t="str">
        <f t="shared" si="39"/>
        <v>#VALUE!</v>
      </c>
      <c r="Y223" s="189" t="str">
        <f t="shared" si="40"/>
        <v>#REF!</v>
      </c>
      <c r="Z223" s="191" t="str">
        <f t="shared" si="8"/>
        <v/>
      </c>
      <c r="AA223" s="191">
        <f t="shared" si="9"/>
        <v>28</v>
      </c>
      <c r="AB223" s="70"/>
      <c r="AC223" s="175"/>
      <c r="AD223" s="177"/>
      <c r="AE223" s="175"/>
      <c r="AF223" s="180"/>
      <c r="AG223" s="180"/>
      <c r="AH223" s="180"/>
      <c r="AI223" s="180" t="str">
        <f t="shared" si="41"/>
        <v/>
      </c>
      <c r="AJ223" s="180"/>
      <c r="AK223" s="180"/>
      <c r="AL223" s="72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</row>
    <row r="224" ht="18.0" customHeight="1">
      <c r="A224" s="6"/>
      <c r="B224" s="217">
        <v>44988.0</v>
      </c>
      <c r="C224" s="176" t="s">
        <v>91</v>
      </c>
      <c r="D224" s="176" t="s">
        <v>112</v>
      </c>
      <c r="E224" s="176" t="s">
        <v>26</v>
      </c>
      <c r="F224" s="176" t="s">
        <v>27</v>
      </c>
      <c r="G224" s="216">
        <v>45009.0</v>
      </c>
      <c r="H224" s="179">
        <f>IFERROR(__xludf.DUMMYFUNCTION("GOOGLEFINANCE(D224,""price"")"),395.01)</f>
        <v>395.01</v>
      </c>
      <c r="I224" s="201">
        <v>185.0</v>
      </c>
      <c r="J224" s="181"/>
      <c r="K224" s="181"/>
      <c r="L224" s="181" t="str">
        <f t="shared" si="18"/>
        <v>Option Closed</v>
      </c>
      <c r="M224" s="212">
        <v>1.0</v>
      </c>
      <c r="N224" s="201">
        <v>1.2</v>
      </c>
      <c r="O224" s="183" t="s">
        <v>98</v>
      </c>
      <c r="P224" s="206"/>
      <c r="Q224" s="184">
        <v>4.5</v>
      </c>
      <c r="R224" s="185">
        <f>if(N224="","",N224*(1-$T$2))</f>
        <v>0.12</v>
      </c>
      <c r="S224" s="186">
        <f>IF(B224="","",IF(AND(E224="Stock",F224="Buy"),(100*((M224*N224)*-1)),IF(AND(E224="Call",F224="Buy"),(100*((M224*N224)*-1)),IF(AND(E224="PUT",F224="Buy"),(100*((M224*N224)*-1)),100*(M224*N224)))))</f>
        <v>120</v>
      </c>
      <c r="T224" s="187">
        <f>IF(B224="","",IF(AND(E224="Stock",F224="Buy"),(100*((M224*Q224)*1)),IF(AND(E224="Call",F224="Buy"),(100*((M224*Q224)*1)),IF(AND(E224="PUT",F224="Buy"),(100*((M224*Q224)*1)),(100*(M224*Q224))*-1))))</f>
        <v>-450</v>
      </c>
      <c r="U224" s="188">
        <f t="shared" si="22"/>
        <v>-330</v>
      </c>
      <c r="V224" s="189">
        <f t="shared" si="23"/>
        <v>0.006486486486</v>
      </c>
      <c r="W224" s="190" t="str">
        <f t="shared" si="38"/>
        <v/>
      </c>
      <c r="X224" s="191" t="str">
        <f>if(E224-today()&lt;0,"",E224-today())</f>
        <v>#VALUE!</v>
      </c>
      <c r="Y224" s="189" t="str">
        <f>IF(AND(#REF!="",N224=""),"",IF(N224="",TODAY()-#REF!,N224-#REF!))</f>
        <v>#REF!</v>
      </c>
      <c r="Z224" s="191" t="str">
        <f t="shared" si="8"/>
        <v/>
      </c>
      <c r="AA224" s="191">
        <f t="shared" si="9"/>
        <v>21</v>
      </c>
      <c r="AB224" s="70"/>
      <c r="AC224" s="175"/>
      <c r="AD224" s="177"/>
      <c r="AE224" s="175"/>
      <c r="AF224" s="180"/>
      <c r="AG224" s="180"/>
      <c r="AH224" s="180"/>
      <c r="AI224" s="180" t="str">
        <f>IF(AC224="","",(AC224*AD224)*-1)</f>
        <v/>
      </c>
      <c r="AJ224" s="180"/>
      <c r="AK224" s="180"/>
      <c r="AL224" s="72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</row>
    <row r="225" ht="18.0" customHeight="1">
      <c r="A225" s="6"/>
      <c r="B225" s="217">
        <v>44953.0</v>
      </c>
      <c r="C225" s="176" t="s">
        <v>91</v>
      </c>
      <c r="D225" s="176" t="s">
        <v>76</v>
      </c>
      <c r="E225" s="176" t="s">
        <v>26</v>
      </c>
      <c r="F225" s="176" t="s">
        <v>27</v>
      </c>
      <c r="G225" s="216">
        <v>44974.0</v>
      </c>
      <c r="H225" s="179">
        <f>IFERROR(__xludf.DUMMYFUNCTION("GOOGLEFINANCE(D225,""price"")"),7.53)</f>
        <v>7.53</v>
      </c>
      <c r="I225" s="201">
        <v>42.5</v>
      </c>
      <c r="J225" s="181"/>
      <c r="K225" s="181"/>
      <c r="L225" s="181" t="str">
        <f t="shared" si="18"/>
        <v>Option Closed</v>
      </c>
      <c r="M225" s="212">
        <v>2.0</v>
      </c>
      <c r="N225" s="201">
        <v>1.0</v>
      </c>
      <c r="O225" s="183" t="s">
        <v>86</v>
      </c>
      <c r="P225" s="206"/>
      <c r="Q225" s="184"/>
      <c r="R225" s="185">
        <f t="shared" ref="R225:R238" si="42">if(N225="","",N225*(1-$T$2))</f>
        <v>0.1</v>
      </c>
      <c r="S225" s="186">
        <f t="shared" ref="S225:S238" si="43">IF(B225="","",IF(AND(E225="Stock",F225="Buy"),(100*((M225*N225)*-1)),IF(AND(E225="Call",F225="Buy"),(100*((M225*N225)*-1)),IF(AND(E225="PUT",F225="Buy"),(100*((M225*N225)*-1)),100*(M225*N225)))))</f>
        <v>200</v>
      </c>
      <c r="T225" s="187">
        <f t="shared" ref="T225:T238" si="44">IF(B225="","",IF(AND(E225="Stock",F225="Buy"),(100*((M225*Q225)*1)),IF(AND(E225="Call",F225="Buy"),(100*((M225*Q225)*1)),IF(AND(E225="PUT",F225="Buy"),(100*((M225*Q225)*1)),(100*(M225*Q225))*-1))))</f>
        <v>0</v>
      </c>
      <c r="U225" s="188">
        <f t="shared" si="22"/>
        <v>200</v>
      </c>
      <c r="V225" s="189">
        <f t="shared" si="23"/>
        <v>0.02352941176</v>
      </c>
      <c r="W225" s="190" t="str">
        <f t="shared" si="38"/>
        <v/>
      </c>
      <c r="X225" s="191" t="str">
        <f t="shared" ref="X225:X238" si="45">if(E225-today()&lt;0,"",E225-today())</f>
        <v>#VALUE!</v>
      </c>
      <c r="Y225" s="189" t="str">
        <f t="shared" ref="Y225:Y238" si="46">IF(AND(#REF!="",N225=""),"",IF(N225="",TODAY()-#REF!,N225-#REF!))</f>
        <v>#REF!</v>
      </c>
      <c r="Z225" s="191" t="str">
        <f t="shared" si="8"/>
        <v/>
      </c>
      <c r="AA225" s="191">
        <f t="shared" si="9"/>
        <v>21</v>
      </c>
      <c r="AB225" s="70"/>
      <c r="AC225" s="175"/>
      <c r="AD225" s="177"/>
      <c r="AE225" s="175"/>
      <c r="AF225" s="180"/>
      <c r="AG225" s="180"/>
      <c r="AH225" s="180"/>
      <c r="AI225" s="180" t="str">
        <f t="shared" ref="AI225:AI226" si="47">IF(AC225="","",(AC225*AD225)*-1)</f>
        <v/>
      </c>
      <c r="AJ225" s="180"/>
      <c r="AK225" s="180"/>
      <c r="AL225" s="72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</row>
    <row r="226" ht="18.0" customHeight="1">
      <c r="A226" s="6"/>
      <c r="B226" s="217">
        <v>44953.0</v>
      </c>
      <c r="C226" s="176" t="s">
        <v>91</v>
      </c>
      <c r="D226" s="176" t="s">
        <v>111</v>
      </c>
      <c r="E226" s="176" t="s">
        <v>26</v>
      </c>
      <c r="F226" s="176" t="s">
        <v>27</v>
      </c>
      <c r="G226" s="216">
        <v>44974.0</v>
      </c>
      <c r="H226" s="179">
        <f>IFERROR(__xludf.DUMMYFUNCTION("GOOGLEFINANCE(D226,""price"")"),327.92)</f>
        <v>327.92</v>
      </c>
      <c r="I226" s="201">
        <v>215.0</v>
      </c>
      <c r="J226" s="181"/>
      <c r="K226" s="181"/>
      <c r="L226" s="181" t="str">
        <f t="shared" si="18"/>
        <v>Option Closed</v>
      </c>
      <c r="M226" s="212">
        <v>5.0</v>
      </c>
      <c r="N226" s="201">
        <v>0.5</v>
      </c>
      <c r="O226" s="183" t="s">
        <v>86</v>
      </c>
      <c r="P226" s="206"/>
      <c r="Q226" s="184"/>
      <c r="R226" s="185">
        <f t="shared" si="42"/>
        <v>0.05</v>
      </c>
      <c r="S226" s="186">
        <f t="shared" si="43"/>
        <v>250</v>
      </c>
      <c r="T226" s="187">
        <f t="shared" si="44"/>
        <v>0</v>
      </c>
      <c r="U226" s="188">
        <f t="shared" si="22"/>
        <v>250</v>
      </c>
      <c r="V226" s="189">
        <f t="shared" si="23"/>
        <v>0.002325581395</v>
      </c>
      <c r="W226" s="190" t="str">
        <f t="shared" si="38"/>
        <v/>
      </c>
      <c r="X226" s="191" t="str">
        <f t="shared" si="45"/>
        <v>#VALUE!</v>
      </c>
      <c r="Y226" s="189" t="str">
        <f t="shared" si="46"/>
        <v>#REF!</v>
      </c>
      <c r="Z226" s="191" t="str">
        <f t="shared" si="8"/>
        <v/>
      </c>
      <c r="AA226" s="191">
        <f t="shared" si="9"/>
        <v>21</v>
      </c>
      <c r="AB226" s="70"/>
      <c r="AC226" s="175"/>
      <c r="AD226" s="177"/>
      <c r="AE226" s="175"/>
      <c r="AF226" s="180"/>
      <c r="AG226" s="180"/>
      <c r="AH226" s="180"/>
      <c r="AI226" s="180" t="str">
        <f t="shared" si="47"/>
        <v/>
      </c>
      <c r="AJ226" s="180"/>
      <c r="AK226" s="180"/>
      <c r="AL226" s="72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</row>
    <row r="227" ht="18.0" customHeight="1">
      <c r="A227" s="218"/>
      <c r="B227" s="219">
        <v>44975.0</v>
      </c>
      <c r="C227" s="176" t="s">
        <v>91</v>
      </c>
      <c r="D227" s="220" t="s">
        <v>76</v>
      </c>
      <c r="E227" s="176" t="s">
        <v>26</v>
      </c>
      <c r="F227" s="176" t="s">
        <v>27</v>
      </c>
      <c r="G227" s="221">
        <v>45002.0</v>
      </c>
      <c r="H227" s="179">
        <f>IFERROR(__xludf.DUMMYFUNCTION("GOOGLEFINANCE(D227,""price"")"),7.53)</f>
        <v>7.53</v>
      </c>
      <c r="I227" s="222">
        <v>44.0</v>
      </c>
      <c r="J227" s="223"/>
      <c r="K227" s="223"/>
      <c r="L227" s="181" t="str">
        <f t="shared" si="18"/>
        <v>Option Closed</v>
      </c>
      <c r="M227" s="212">
        <v>2.0</v>
      </c>
      <c r="N227" s="201">
        <v>1.46</v>
      </c>
      <c r="O227" s="183" t="s">
        <v>86</v>
      </c>
      <c r="P227" s="206"/>
      <c r="Q227" s="184"/>
      <c r="R227" s="185">
        <f t="shared" si="42"/>
        <v>0.146</v>
      </c>
      <c r="S227" s="186">
        <f t="shared" si="43"/>
        <v>292</v>
      </c>
      <c r="T227" s="187">
        <f t="shared" si="44"/>
        <v>0</v>
      </c>
      <c r="U227" s="188">
        <f t="shared" si="22"/>
        <v>292</v>
      </c>
      <c r="V227" s="189">
        <f t="shared" si="23"/>
        <v>0.03318181818</v>
      </c>
      <c r="W227" s="190" t="str">
        <f t="shared" si="38"/>
        <v/>
      </c>
      <c r="X227" s="191" t="str">
        <f t="shared" si="45"/>
        <v>#VALUE!</v>
      </c>
      <c r="Y227" s="189" t="str">
        <f t="shared" si="46"/>
        <v>#REF!</v>
      </c>
      <c r="Z227" s="191" t="str">
        <f t="shared" si="8"/>
        <v/>
      </c>
      <c r="AA227" s="191">
        <f t="shared" si="9"/>
        <v>27</v>
      </c>
      <c r="AB227" s="224"/>
      <c r="AC227" s="225"/>
      <c r="AD227" s="226"/>
      <c r="AE227" s="225"/>
      <c r="AF227" s="227"/>
      <c r="AG227" s="227"/>
      <c r="AH227" s="227"/>
      <c r="AI227" s="227"/>
      <c r="AJ227" s="227"/>
      <c r="AK227" s="227"/>
      <c r="AL227" s="228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</row>
    <row r="228" ht="18.0" customHeight="1">
      <c r="A228" s="218"/>
      <c r="B228" s="219">
        <v>44975.0</v>
      </c>
      <c r="C228" s="176" t="s">
        <v>91</v>
      </c>
      <c r="D228" s="220" t="s">
        <v>111</v>
      </c>
      <c r="E228" s="176" t="s">
        <v>26</v>
      </c>
      <c r="F228" s="176" t="s">
        <v>27</v>
      </c>
      <c r="G228" s="221">
        <v>45002.0</v>
      </c>
      <c r="H228" s="179">
        <f>IFERROR(__xludf.DUMMYFUNCTION("GOOGLEFINANCE(D228,""price"")"),327.92)</f>
        <v>327.92</v>
      </c>
      <c r="I228" s="222">
        <v>215.0</v>
      </c>
      <c r="J228" s="223"/>
      <c r="K228" s="223"/>
      <c r="L228" s="181" t="str">
        <f t="shared" si="18"/>
        <v>Option Closed</v>
      </c>
      <c r="M228" s="212">
        <v>5.0</v>
      </c>
      <c r="N228" s="201">
        <v>0.63</v>
      </c>
      <c r="O228" s="183" t="s">
        <v>86</v>
      </c>
      <c r="P228" s="206"/>
      <c r="Q228" s="184"/>
      <c r="R228" s="185">
        <f t="shared" si="42"/>
        <v>0.063</v>
      </c>
      <c r="S228" s="186">
        <f t="shared" si="43"/>
        <v>315</v>
      </c>
      <c r="T228" s="187">
        <f t="shared" si="44"/>
        <v>0</v>
      </c>
      <c r="U228" s="188">
        <f t="shared" si="22"/>
        <v>315</v>
      </c>
      <c r="V228" s="189">
        <f t="shared" si="23"/>
        <v>0.002930232558</v>
      </c>
      <c r="W228" s="190" t="str">
        <f t="shared" si="38"/>
        <v/>
      </c>
      <c r="X228" s="191" t="str">
        <f t="shared" si="45"/>
        <v>#VALUE!</v>
      </c>
      <c r="Y228" s="189" t="str">
        <f t="shared" si="46"/>
        <v>#REF!</v>
      </c>
      <c r="Z228" s="191" t="str">
        <f t="shared" si="8"/>
        <v/>
      </c>
      <c r="AA228" s="191">
        <f t="shared" si="9"/>
        <v>27</v>
      </c>
      <c r="AB228" s="224"/>
      <c r="AC228" s="225"/>
      <c r="AD228" s="226"/>
      <c r="AE228" s="225"/>
      <c r="AF228" s="227"/>
      <c r="AG228" s="227"/>
      <c r="AH228" s="227"/>
      <c r="AI228" s="227"/>
      <c r="AJ228" s="227"/>
      <c r="AK228" s="227"/>
      <c r="AL228" s="228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</row>
    <row r="229" ht="18.0" customHeight="1">
      <c r="A229" s="218"/>
      <c r="B229" s="219">
        <v>44975.0</v>
      </c>
      <c r="C229" s="176" t="s">
        <v>91</v>
      </c>
      <c r="D229" s="220" t="s">
        <v>78</v>
      </c>
      <c r="E229" s="176" t="s">
        <v>26</v>
      </c>
      <c r="F229" s="176" t="s">
        <v>27</v>
      </c>
      <c r="G229" s="221">
        <v>45002.0</v>
      </c>
      <c r="H229" s="179">
        <f>IFERROR(__xludf.DUMMYFUNCTION("GOOGLEFINANCE(D229,""price"")"),720.66)</f>
        <v>720.66</v>
      </c>
      <c r="I229" s="222">
        <v>390.0</v>
      </c>
      <c r="J229" s="223"/>
      <c r="K229" s="223"/>
      <c r="L229" s="181" t="str">
        <f t="shared" si="18"/>
        <v>Option Closed</v>
      </c>
      <c r="M229" s="212">
        <v>8.0</v>
      </c>
      <c r="N229" s="201">
        <v>1.2</v>
      </c>
      <c r="O229" s="183" t="s">
        <v>86</v>
      </c>
      <c r="P229" s="206"/>
      <c r="Q229" s="184"/>
      <c r="R229" s="185">
        <f t="shared" si="42"/>
        <v>0.12</v>
      </c>
      <c r="S229" s="186">
        <f t="shared" si="43"/>
        <v>960</v>
      </c>
      <c r="T229" s="187">
        <f t="shared" si="44"/>
        <v>0</v>
      </c>
      <c r="U229" s="188">
        <f t="shared" si="22"/>
        <v>960</v>
      </c>
      <c r="V229" s="189">
        <f t="shared" si="23"/>
        <v>0.003076923077</v>
      </c>
      <c r="W229" s="190" t="str">
        <f t="shared" si="38"/>
        <v/>
      </c>
      <c r="X229" s="191" t="str">
        <f t="shared" si="45"/>
        <v>#VALUE!</v>
      </c>
      <c r="Y229" s="189" t="str">
        <f t="shared" si="46"/>
        <v>#REF!</v>
      </c>
      <c r="Z229" s="191" t="str">
        <f t="shared" si="8"/>
        <v/>
      </c>
      <c r="AA229" s="191">
        <f t="shared" si="9"/>
        <v>27</v>
      </c>
      <c r="AB229" s="224"/>
      <c r="AC229" s="225"/>
      <c r="AD229" s="226"/>
      <c r="AE229" s="225"/>
      <c r="AF229" s="227"/>
      <c r="AG229" s="227"/>
      <c r="AH229" s="227"/>
      <c r="AI229" s="227"/>
      <c r="AJ229" s="227"/>
      <c r="AK229" s="227"/>
      <c r="AL229" s="228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</row>
    <row r="230" ht="18.0" customHeight="1">
      <c r="A230" s="218"/>
      <c r="B230" s="219">
        <v>44975.0</v>
      </c>
      <c r="C230" s="176" t="s">
        <v>91</v>
      </c>
      <c r="D230" s="220" t="s">
        <v>99</v>
      </c>
      <c r="E230" s="176" t="s">
        <v>26</v>
      </c>
      <c r="F230" s="176" t="s">
        <v>27</v>
      </c>
      <c r="G230" s="221">
        <v>45002.0</v>
      </c>
      <c r="H230" s="179">
        <f>IFERROR(__xludf.DUMMYFUNCTION("GOOGLEFINANCE(D230,""price"")"),365.93)</f>
        <v>365.93</v>
      </c>
      <c r="I230" s="222">
        <v>270.0</v>
      </c>
      <c r="J230" s="223"/>
      <c r="K230" s="223"/>
      <c r="L230" s="181" t="str">
        <f t="shared" si="18"/>
        <v>Option Closed</v>
      </c>
      <c r="M230" s="212">
        <v>3.0</v>
      </c>
      <c r="N230" s="201">
        <v>2.0</v>
      </c>
      <c r="O230" s="183" t="s">
        <v>86</v>
      </c>
      <c r="P230" s="206"/>
      <c r="Q230" s="184"/>
      <c r="R230" s="185">
        <f t="shared" si="42"/>
        <v>0.2</v>
      </c>
      <c r="S230" s="186">
        <f t="shared" si="43"/>
        <v>600</v>
      </c>
      <c r="T230" s="187">
        <f t="shared" si="44"/>
        <v>0</v>
      </c>
      <c r="U230" s="188">
        <f t="shared" si="22"/>
        <v>600</v>
      </c>
      <c r="V230" s="189">
        <f t="shared" si="23"/>
        <v>0.007407407407</v>
      </c>
      <c r="W230" s="190" t="str">
        <f t="shared" si="38"/>
        <v/>
      </c>
      <c r="X230" s="191" t="str">
        <f t="shared" si="45"/>
        <v>#VALUE!</v>
      </c>
      <c r="Y230" s="189" t="str">
        <f t="shared" si="46"/>
        <v>#REF!</v>
      </c>
      <c r="Z230" s="191" t="str">
        <f t="shared" si="8"/>
        <v/>
      </c>
      <c r="AA230" s="191">
        <f t="shared" si="9"/>
        <v>27</v>
      </c>
      <c r="AB230" s="224"/>
      <c r="AC230" s="225"/>
      <c r="AD230" s="226"/>
      <c r="AE230" s="225"/>
      <c r="AF230" s="227"/>
      <c r="AG230" s="227"/>
      <c r="AH230" s="227"/>
      <c r="AI230" s="227"/>
      <c r="AJ230" s="227"/>
      <c r="AK230" s="227"/>
      <c r="AL230" s="228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</row>
    <row r="231" ht="18.0" customHeight="1">
      <c r="A231" s="218"/>
      <c r="B231" s="219">
        <v>44975.0</v>
      </c>
      <c r="C231" s="176" t="s">
        <v>91</v>
      </c>
      <c r="D231" s="220" t="s">
        <v>100</v>
      </c>
      <c r="E231" s="176" t="s">
        <v>113</v>
      </c>
      <c r="F231" s="176" t="s">
        <v>27</v>
      </c>
      <c r="G231" s="221">
        <v>45002.0</v>
      </c>
      <c r="H231" s="179">
        <f>IFERROR(__xludf.DUMMYFUNCTION("GOOGLEFINANCE(D231,""price"")"),127.08)</f>
        <v>127.08</v>
      </c>
      <c r="I231" s="222">
        <v>52.0</v>
      </c>
      <c r="J231" s="223"/>
      <c r="K231" s="223"/>
      <c r="L231" s="181" t="str">
        <f t="shared" si="18"/>
        <v>Option Closed</v>
      </c>
      <c r="M231" s="212">
        <v>1.0</v>
      </c>
      <c r="N231" s="201">
        <v>2.6</v>
      </c>
      <c r="O231" s="183" t="s">
        <v>86</v>
      </c>
      <c r="P231" s="206"/>
      <c r="Q231" s="184"/>
      <c r="R231" s="185">
        <f t="shared" si="42"/>
        <v>0.26</v>
      </c>
      <c r="S231" s="186">
        <f t="shared" si="43"/>
        <v>260</v>
      </c>
      <c r="T231" s="187">
        <f t="shared" si="44"/>
        <v>0</v>
      </c>
      <c r="U231" s="188">
        <f t="shared" si="22"/>
        <v>260</v>
      </c>
      <c r="V231" s="189">
        <f t="shared" si="23"/>
        <v>0.05</v>
      </c>
      <c r="W231" s="190" t="str">
        <f t="shared" si="38"/>
        <v/>
      </c>
      <c r="X231" s="191" t="str">
        <f t="shared" si="45"/>
        <v>#VALUE!</v>
      </c>
      <c r="Y231" s="189" t="str">
        <f t="shared" si="46"/>
        <v>#REF!</v>
      </c>
      <c r="Z231" s="191" t="str">
        <f t="shared" si="8"/>
        <v/>
      </c>
      <c r="AA231" s="191">
        <f t="shared" si="9"/>
        <v>27</v>
      </c>
      <c r="AB231" s="224"/>
      <c r="AC231" s="225"/>
      <c r="AD231" s="226"/>
      <c r="AE231" s="225"/>
      <c r="AF231" s="227"/>
      <c r="AG231" s="227"/>
      <c r="AH231" s="227"/>
      <c r="AI231" s="227"/>
      <c r="AJ231" s="227"/>
      <c r="AK231" s="227"/>
      <c r="AL231" s="228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</row>
    <row r="232" ht="18.0" customHeight="1">
      <c r="A232" s="218"/>
      <c r="B232" s="219">
        <v>44995.0</v>
      </c>
      <c r="C232" s="176" t="s">
        <v>105</v>
      </c>
      <c r="D232" s="220" t="s">
        <v>111</v>
      </c>
      <c r="E232" s="176" t="s">
        <v>82</v>
      </c>
      <c r="F232" s="176" t="s">
        <v>27</v>
      </c>
      <c r="G232" s="221">
        <v>45037.0</v>
      </c>
      <c r="H232" s="179">
        <f>IFERROR(__xludf.DUMMYFUNCTION("GOOGLEFINANCE(D232,""price"")"),327.92)</f>
        <v>327.92</v>
      </c>
      <c r="I232" s="222">
        <v>193.0</v>
      </c>
      <c r="J232" s="223"/>
      <c r="K232" s="223"/>
      <c r="L232" s="181" t="str">
        <f t="shared" si="18"/>
        <v>Option Closed</v>
      </c>
      <c r="M232" s="212">
        <v>2.0</v>
      </c>
      <c r="N232" s="201">
        <v>3.5</v>
      </c>
      <c r="O232" s="183" t="s">
        <v>86</v>
      </c>
      <c r="P232" s="206"/>
      <c r="Q232" s="184"/>
      <c r="R232" s="185">
        <f t="shared" si="42"/>
        <v>0.35</v>
      </c>
      <c r="S232" s="186">
        <f t="shared" si="43"/>
        <v>700</v>
      </c>
      <c r="T232" s="187">
        <f t="shared" si="44"/>
        <v>0</v>
      </c>
      <c r="U232" s="188">
        <f t="shared" si="22"/>
        <v>700</v>
      </c>
      <c r="V232" s="189">
        <f t="shared" si="23"/>
        <v>0.01813471503</v>
      </c>
      <c r="W232" s="190" t="str">
        <f t="shared" si="38"/>
        <v/>
      </c>
      <c r="X232" s="191" t="str">
        <f t="shared" si="45"/>
        <v>#VALUE!</v>
      </c>
      <c r="Y232" s="189" t="str">
        <f t="shared" si="46"/>
        <v>#REF!</v>
      </c>
      <c r="Z232" s="191" t="str">
        <f t="shared" si="8"/>
        <v/>
      </c>
      <c r="AA232" s="191">
        <f t="shared" si="9"/>
        <v>42</v>
      </c>
      <c r="AB232" s="224"/>
      <c r="AC232" s="225"/>
      <c r="AD232" s="226"/>
      <c r="AE232" s="225"/>
      <c r="AF232" s="227"/>
      <c r="AG232" s="227"/>
      <c r="AH232" s="227"/>
      <c r="AI232" s="227"/>
      <c r="AJ232" s="227"/>
      <c r="AK232" s="227"/>
      <c r="AL232" s="228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</row>
    <row r="233" ht="18.0" customHeight="1">
      <c r="A233" s="218"/>
      <c r="B233" s="219">
        <v>44995.0</v>
      </c>
      <c r="C233" s="176" t="s">
        <v>105</v>
      </c>
      <c r="D233" s="220" t="s">
        <v>110</v>
      </c>
      <c r="E233" s="176" t="s">
        <v>82</v>
      </c>
      <c r="F233" s="176" t="s">
        <v>27</v>
      </c>
      <c r="G233" s="221">
        <v>45037.0</v>
      </c>
      <c r="H233" s="179">
        <f>IFERROR(__xludf.DUMMYFUNCTION("GOOGLEFINANCE(D233,""price"")"),491.89)</f>
        <v>491.89</v>
      </c>
      <c r="I233" s="222">
        <v>295.0</v>
      </c>
      <c r="J233" s="223"/>
      <c r="K233" s="223"/>
      <c r="L233" s="181" t="str">
        <f t="shared" si="18"/>
        <v>Option Closed</v>
      </c>
      <c r="M233" s="212">
        <v>1.0</v>
      </c>
      <c r="N233" s="201">
        <v>5.0</v>
      </c>
      <c r="O233" s="183" t="s">
        <v>86</v>
      </c>
      <c r="P233" s="206"/>
      <c r="Q233" s="184"/>
      <c r="R233" s="185">
        <f t="shared" si="42"/>
        <v>0.5</v>
      </c>
      <c r="S233" s="186">
        <f t="shared" si="43"/>
        <v>500</v>
      </c>
      <c r="T233" s="187">
        <f t="shared" si="44"/>
        <v>0</v>
      </c>
      <c r="U233" s="188">
        <f t="shared" si="22"/>
        <v>500</v>
      </c>
      <c r="V233" s="189">
        <f t="shared" si="23"/>
        <v>0.01694915254</v>
      </c>
      <c r="W233" s="190" t="str">
        <f t="shared" si="38"/>
        <v/>
      </c>
      <c r="X233" s="191" t="str">
        <f t="shared" si="45"/>
        <v>#VALUE!</v>
      </c>
      <c r="Y233" s="189" t="str">
        <f t="shared" si="46"/>
        <v>#REF!</v>
      </c>
      <c r="Z233" s="191" t="str">
        <f t="shared" si="8"/>
        <v/>
      </c>
      <c r="AA233" s="191">
        <f t="shared" si="9"/>
        <v>42</v>
      </c>
      <c r="AB233" s="224"/>
      <c r="AC233" s="225"/>
      <c r="AD233" s="226"/>
      <c r="AE233" s="225"/>
      <c r="AF233" s="227"/>
      <c r="AG233" s="227"/>
      <c r="AH233" s="227"/>
      <c r="AI233" s="227"/>
      <c r="AJ233" s="227"/>
      <c r="AK233" s="227"/>
      <c r="AL233" s="228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</row>
    <row r="234" ht="18.0" customHeight="1">
      <c r="A234" s="218"/>
      <c r="B234" s="219">
        <v>45002.0</v>
      </c>
      <c r="C234" s="176" t="s">
        <v>91</v>
      </c>
      <c r="D234" s="220" t="s">
        <v>78</v>
      </c>
      <c r="E234" s="176" t="s">
        <v>26</v>
      </c>
      <c r="F234" s="176" t="s">
        <v>27</v>
      </c>
      <c r="G234" s="221">
        <v>45037.0</v>
      </c>
      <c r="H234" s="179">
        <f>IFERROR(__xludf.DUMMYFUNCTION("GOOGLEFINANCE(D234,""price"")"),720.66)</f>
        <v>720.66</v>
      </c>
      <c r="I234" s="222">
        <v>395.0</v>
      </c>
      <c r="J234" s="223"/>
      <c r="K234" s="223"/>
      <c r="L234" s="181" t="str">
        <f t="shared" si="18"/>
        <v>Option Closed</v>
      </c>
      <c r="M234" s="212">
        <v>8.0</v>
      </c>
      <c r="N234" s="201">
        <v>1.7</v>
      </c>
      <c r="O234" s="183" t="s">
        <v>45</v>
      </c>
      <c r="P234" s="206">
        <v>45036.0</v>
      </c>
      <c r="Q234" s="184">
        <v>0.06</v>
      </c>
      <c r="R234" s="185">
        <f t="shared" si="42"/>
        <v>0.17</v>
      </c>
      <c r="S234" s="186">
        <f t="shared" si="43"/>
        <v>1360</v>
      </c>
      <c r="T234" s="187">
        <f t="shared" si="44"/>
        <v>-48</v>
      </c>
      <c r="U234" s="188">
        <f t="shared" si="22"/>
        <v>1312</v>
      </c>
      <c r="V234" s="189">
        <f t="shared" si="23"/>
        <v>0.004303797468</v>
      </c>
      <c r="W234" s="190" t="str">
        <f t="shared" si="38"/>
        <v/>
      </c>
      <c r="X234" s="191" t="str">
        <f t="shared" si="45"/>
        <v>#VALUE!</v>
      </c>
      <c r="Y234" s="189" t="str">
        <f t="shared" si="46"/>
        <v>#REF!</v>
      </c>
      <c r="Z234" s="191" t="str">
        <f t="shared" si="8"/>
        <v/>
      </c>
      <c r="AA234" s="191">
        <f t="shared" si="9"/>
        <v>34</v>
      </c>
      <c r="AB234" s="224"/>
      <c r="AC234" s="225"/>
      <c r="AD234" s="226"/>
      <c r="AE234" s="225"/>
      <c r="AF234" s="227"/>
      <c r="AG234" s="227"/>
      <c r="AH234" s="227"/>
      <c r="AI234" s="227"/>
      <c r="AJ234" s="227"/>
      <c r="AK234" s="227"/>
      <c r="AL234" s="228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</row>
    <row r="235" ht="18.0" customHeight="1">
      <c r="A235" s="218"/>
      <c r="B235" s="219">
        <v>45005.0</v>
      </c>
      <c r="C235" s="176" t="s">
        <v>91</v>
      </c>
      <c r="D235" s="220" t="s">
        <v>100</v>
      </c>
      <c r="E235" s="176" t="s">
        <v>26</v>
      </c>
      <c r="F235" s="176" t="s">
        <v>27</v>
      </c>
      <c r="G235" s="221">
        <v>45037.0</v>
      </c>
      <c r="H235" s="179">
        <f>IFERROR(__xludf.DUMMYFUNCTION("GOOGLEFINANCE(D235,""price"")"),127.08)</f>
        <v>127.08</v>
      </c>
      <c r="I235" s="222">
        <v>55.0</v>
      </c>
      <c r="J235" s="223"/>
      <c r="K235" s="223"/>
      <c r="L235" s="181" t="str">
        <f t="shared" si="18"/>
        <v>Option Closed</v>
      </c>
      <c r="M235" s="212">
        <v>1.0</v>
      </c>
      <c r="N235" s="201">
        <v>1.8</v>
      </c>
      <c r="O235" s="183" t="s">
        <v>86</v>
      </c>
      <c r="P235" s="206"/>
      <c r="Q235" s="184"/>
      <c r="R235" s="185">
        <f t="shared" si="42"/>
        <v>0.18</v>
      </c>
      <c r="S235" s="186">
        <f t="shared" si="43"/>
        <v>180</v>
      </c>
      <c r="T235" s="187">
        <f t="shared" si="44"/>
        <v>0</v>
      </c>
      <c r="U235" s="188">
        <f t="shared" si="22"/>
        <v>180</v>
      </c>
      <c r="V235" s="189">
        <f t="shared" si="23"/>
        <v>0.03272727273</v>
      </c>
      <c r="W235" s="190" t="str">
        <f t="shared" si="38"/>
        <v/>
      </c>
      <c r="X235" s="191" t="str">
        <f t="shared" si="45"/>
        <v>#VALUE!</v>
      </c>
      <c r="Y235" s="189" t="str">
        <f t="shared" si="46"/>
        <v>#REF!</v>
      </c>
      <c r="Z235" s="191" t="str">
        <f t="shared" si="8"/>
        <v/>
      </c>
      <c r="AA235" s="191">
        <f t="shared" si="9"/>
        <v>32</v>
      </c>
      <c r="AB235" s="224"/>
      <c r="AC235" s="225"/>
      <c r="AD235" s="226"/>
      <c r="AE235" s="225"/>
      <c r="AF235" s="227"/>
      <c r="AG235" s="227"/>
      <c r="AH235" s="227"/>
      <c r="AI235" s="227"/>
      <c r="AJ235" s="227"/>
      <c r="AK235" s="227"/>
      <c r="AL235" s="228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</row>
    <row r="236" ht="18.0" customHeight="1">
      <c r="A236" s="218"/>
      <c r="B236" s="219">
        <v>45008.0</v>
      </c>
      <c r="C236" s="176" t="s">
        <v>91</v>
      </c>
      <c r="D236" s="220" t="s">
        <v>76</v>
      </c>
      <c r="E236" s="176" t="s">
        <v>26</v>
      </c>
      <c r="F236" s="176" t="s">
        <v>27</v>
      </c>
      <c r="G236" s="221">
        <v>45037.0</v>
      </c>
      <c r="H236" s="179">
        <f>IFERROR(__xludf.DUMMYFUNCTION("GOOGLEFINANCE(D236,""price"")"),7.53)</f>
        <v>7.53</v>
      </c>
      <c r="I236" s="222">
        <v>43.0</v>
      </c>
      <c r="J236" s="223"/>
      <c r="K236" s="223"/>
      <c r="L236" s="181" t="str">
        <f t="shared" si="18"/>
        <v>Option Closed</v>
      </c>
      <c r="M236" s="212">
        <v>2.0</v>
      </c>
      <c r="N236" s="201">
        <v>0.7</v>
      </c>
      <c r="O236" s="183" t="s">
        <v>86</v>
      </c>
      <c r="P236" s="206"/>
      <c r="Q236" s="184"/>
      <c r="R236" s="185">
        <f t="shared" si="42"/>
        <v>0.07</v>
      </c>
      <c r="S236" s="186">
        <f t="shared" si="43"/>
        <v>140</v>
      </c>
      <c r="T236" s="187">
        <f t="shared" si="44"/>
        <v>0</v>
      </c>
      <c r="U236" s="188">
        <f t="shared" si="22"/>
        <v>140</v>
      </c>
      <c r="V236" s="189">
        <f t="shared" si="23"/>
        <v>0.01627906977</v>
      </c>
      <c r="W236" s="190" t="str">
        <f t="shared" si="38"/>
        <v/>
      </c>
      <c r="X236" s="191" t="str">
        <f t="shared" si="45"/>
        <v>#VALUE!</v>
      </c>
      <c r="Y236" s="189" t="str">
        <f t="shared" si="46"/>
        <v>#REF!</v>
      </c>
      <c r="Z236" s="191" t="str">
        <f t="shared" si="8"/>
        <v/>
      </c>
      <c r="AA236" s="191">
        <f t="shared" si="9"/>
        <v>29</v>
      </c>
      <c r="AB236" s="224"/>
      <c r="AC236" s="225"/>
      <c r="AD236" s="226"/>
      <c r="AE236" s="225"/>
      <c r="AF236" s="227"/>
      <c r="AG236" s="227"/>
      <c r="AH236" s="227"/>
      <c r="AI236" s="227"/>
      <c r="AJ236" s="227"/>
      <c r="AK236" s="227"/>
      <c r="AL236" s="228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</row>
    <row r="237" ht="18.0" customHeight="1">
      <c r="A237" s="218"/>
      <c r="B237" s="219">
        <v>45008.0</v>
      </c>
      <c r="C237" s="176" t="s">
        <v>105</v>
      </c>
      <c r="D237" s="220" t="s">
        <v>111</v>
      </c>
      <c r="E237" s="176" t="s">
        <v>82</v>
      </c>
      <c r="F237" s="176" t="s">
        <v>27</v>
      </c>
      <c r="G237" s="221">
        <v>45037.0</v>
      </c>
      <c r="H237" s="179">
        <f>IFERROR(__xludf.DUMMYFUNCTION("GOOGLEFINANCE(D237,""price"")"),327.92)</f>
        <v>327.92</v>
      </c>
      <c r="I237" s="222">
        <v>192.0</v>
      </c>
      <c r="J237" s="223"/>
      <c r="K237" s="223"/>
      <c r="L237" s="181" t="str">
        <f t="shared" si="18"/>
        <v>Option Closed</v>
      </c>
      <c r="M237" s="212">
        <v>2.0</v>
      </c>
      <c r="N237" s="201">
        <v>3.0</v>
      </c>
      <c r="O237" s="183" t="s">
        <v>86</v>
      </c>
      <c r="P237" s="206"/>
      <c r="Q237" s="184"/>
      <c r="R237" s="185">
        <f t="shared" si="42"/>
        <v>0.3</v>
      </c>
      <c r="S237" s="186">
        <f t="shared" si="43"/>
        <v>600</v>
      </c>
      <c r="T237" s="187">
        <f t="shared" si="44"/>
        <v>0</v>
      </c>
      <c r="U237" s="188">
        <f t="shared" si="22"/>
        <v>600</v>
      </c>
      <c r="V237" s="189">
        <f t="shared" si="23"/>
        <v>0.015625</v>
      </c>
      <c r="W237" s="190" t="str">
        <f t="shared" si="38"/>
        <v/>
      </c>
      <c r="X237" s="191" t="str">
        <f t="shared" si="45"/>
        <v>#VALUE!</v>
      </c>
      <c r="Y237" s="189" t="str">
        <f t="shared" si="46"/>
        <v>#REF!</v>
      </c>
      <c r="Z237" s="191" t="str">
        <f t="shared" si="8"/>
        <v/>
      </c>
      <c r="AA237" s="191">
        <f t="shared" si="9"/>
        <v>29</v>
      </c>
      <c r="AB237" s="224"/>
      <c r="AC237" s="225"/>
      <c r="AD237" s="226"/>
      <c r="AE237" s="225"/>
      <c r="AF237" s="227"/>
      <c r="AG237" s="227"/>
      <c r="AH237" s="227"/>
      <c r="AI237" s="227"/>
      <c r="AJ237" s="227"/>
      <c r="AK237" s="227"/>
      <c r="AL237" s="228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</row>
    <row r="238" ht="18.0" customHeight="1">
      <c r="A238" s="218"/>
      <c r="B238" s="219">
        <v>45008.0</v>
      </c>
      <c r="C238" s="176" t="s">
        <v>91</v>
      </c>
      <c r="D238" s="220" t="s">
        <v>111</v>
      </c>
      <c r="E238" s="176" t="s">
        <v>26</v>
      </c>
      <c r="F238" s="176" t="s">
        <v>27</v>
      </c>
      <c r="G238" s="221">
        <v>45037.0</v>
      </c>
      <c r="H238" s="179">
        <f>IFERROR(__xludf.DUMMYFUNCTION("GOOGLEFINANCE(D238,""price"")"),327.92)</f>
        <v>327.92</v>
      </c>
      <c r="I238" s="222">
        <v>210.0</v>
      </c>
      <c r="J238" s="223"/>
      <c r="K238" s="223"/>
      <c r="L238" s="181" t="str">
        <f t="shared" si="18"/>
        <v>Option Closed</v>
      </c>
      <c r="M238" s="212">
        <v>5.0</v>
      </c>
      <c r="N238" s="201">
        <v>0.7</v>
      </c>
      <c r="O238" s="183" t="s">
        <v>86</v>
      </c>
      <c r="P238" s="206"/>
      <c r="Q238" s="184"/>
      <c r="R238" s="185">
        <f t="shared" si="42"/>
        <v>0.07</v>
      </c>
      <c r="S238" s="186">
        <f t="shared" si="43"/>
        <v>350</v>
      </c>
      <c r="T238" s="187">
        <f t="shared" si="44"/>
        <v>0</v>
      </c>
      <c r="U238" s="188">
        <f t="shared" si="22"/>
        <v>350</v>
      </c>
      <c r="V238" s="189">
        <f t="shared" si="23"/>
        <v>0.003333333333</v>
      </c>
      <c r="W238" s="190" t="str">
        <f t="shared" si="38"/>
        <v/>
      </c>
      <c r="X238" s="191" t="str">
        <f t="shared" si="45"/>
        <v>#VALUE!</v>
      </c>
      <c r="Y238" s="189" t="str">
        <f t="shared" si="46"/>
        <v>#REF!</v>
      </c>
      <c r="Z238" s="191" t="str">
        <f t="shared" si="8"/>
        <v/>
      </c>
      <c r="AA238" s="191">
        <f t="shared" si="9"/>
        <v>29</v>
      </c>
      <c r="AB238" s="224"/>
      <c r="AC238" s="225"/>
      <c r="AD238" s="226"/>
      <c r="AE238" s="225"/>
      <c r="AF238" s="227"/>
      <c r="AG238" s="227"/>
      <c r="AH238" s="227"/>
      <c r="AI238" s="227"/>
      <c r="AJ238" s="227"/>
      <c r="AK238" s="227"/>
      <c r="AL238" s="228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</row>
    <row r="239" ht="18.0" customHeight="1">
      <c r="A239" s="6"/>
      <c r="B239" s="217">
        <v>45009.0</v>
      </c>
      <c r="C239" s="176" t="s">
        <v>91</v>
      </c>
      <c r="D239" s="176" t="s">
        <v>112</v>
      </c>
      <c r="E239" s="176" t="s">
        <v>26</v>
      </c>
      <c r="F239" s="176" t="s">
        <v>27</v>
      </c>
      <c r="G239" s="216">
        <v>45030.0</v>
      </c>
      <c r="H239" s="179">
        <f>IFERROR(__xludf.DUMMYFUNCTION("GOOGLEFINANCE(D239,""price"")"),395.01)</f>
        <v>395.01</v>
      </c>
      <c r="I239" s="201">
        <v>195.0</v>
      </c>
      <c r="J239" s="181"/>
      <c r="K239" s="181"/>
      <c r="L239" s="181" t="str">
        <f t="shared" si="18"/>
        <v>Option Closed</v>
      </c>
      <c r="M239" s="212">
        <v>1.0</v>
      </c>
      <c r="N239" s="201">
        <v>9.5</v>
      </c>
      <c r="O239" s="183" t="s">
        <v>45</v>
      </c>
      <c r="P239" s="206">
        <v>45028.0</v>
      </c>
      <c r="Q239" s="184">
        <v>0.3</v>
      </c>
      <c r="R239" s="185">
        <f>if(N239="","",N239*(1-$T$2))</f>
        <v>0.95</v>
      </c>
      <c r="S239" s="186">
        <f>IF(B239="","",IF(AND(E239="Stock",F239="Buy"),(100*((M239*N239)*-1)),IF(AND(E239="Call",F239="Buy"),(100*((M239*N239)*-1)),IF(AND(E239="PUT",F239="Buy"),(100*((M239*N239)*-1)),100*(M239*N239)))))</f>
        <v>950</v>
      </c>
      <c r="T239" s="187">
        <f>IF(B239="","",IF(AND(E239="Stock",F239="Buy"),(100*((M239*Q239)*1)),IF(AND(E239="Call",F239="Buy"),(100*((M239*Q239)*1)),IF(AND(E239="PUT",F239="Buy"),(100*((M239*Q239)*1)),(100*(M239*Q239))*-1))))</f>
        <v>-30</v>
      </c>
      <c r="U239" s="188">
        <f t="shared" si="22"/>
        <v>920</v>
      </c>
      <c r="V239" s="189">
        <f t="shared" si="23"/>
        <v>0.04871794872</v>
      </c>
      <c r="W239" s="190" t="str">
        <f t="shared" si="38"/>
        <v/>
      </c>
      <c r="X239" s="191" t="str">
        <f>if(E239-today()&lt;0,"",E239-today())</f>
        <v>#VALUE!</v>
      </c>
      <c r="Y239" s="189" t="str">
        <f>IF(AND(#REF!="",N239=""),"",IF(N239="",TODAY()-#REF!,N239-#REF!))</f>
        <v>#REF!</v>
      </c>
      <c r="Z239" s="191" t="str">
        <f t="shared" si="8"/>
        <v/>
      </c>
      <c r="AA239" s="191">
        <f t="shared" si="9"/>
        <v>19</v>
      </c>
      <c r="AB239" s="70"/>
      <c r="AC239" s="175"/>
      <c r="AD239" s="177"/>
      <c r="AE239" s="175"/>
      <c r="AF239" s="180"/>
      <c r="AG239" s="180"/>
      <c r="AH239" s="180"/>
      <c r="AI239" s="180" t="str">
        <f>IF(AC239="","",(AC239*AD239)*-1)</f>
        <v/>
      </c>
      <c r="AJ239" s="180"/>
      <c r="AK239" s="180"/>
      <c r="AL239" s="72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</row>
    <row r="240" ht="18.0" customHeight="1">
      <c r="A240" s="218"/>
      <c r="B240" s="219">
        <v>45015.0</v>
      </c>
      <c r="C240" s="176" t="s">
        <v>91</v>
      </c>
      <c r="D240" s="220" t="s">
        <v>99</v>
      </c>
      <c r="E240" s="176" t="s">
        <v>26</v>
      </c>
      <c r="F240" s="176" t="s">
        <v>27</v>
      </c>
      <c r="G240" s="221">
        <v>45037.0</v>
      </c>
      <c r="H240" s="179">
        <f>IFERROR(__xludf.DUMMYFUNCTION("GOOGLEFINANCE(D240,""price"")"),365.93)</f>
        <v>365.93</v>
      </c>
      <c r="I240" s="222">
        <v>260.0</v>
      </c>
      <c r="J240" s="223"/>
      <c r="K240" s="223"/>
      <c r="L240" s="181" t="str">
        <f t="shared" si="18"/>
        <v>Option Closed</v>
      </c>
      <c r="M240" s="212">
        <v>3.0</v>
      </c>
      <c r="N240" s="201">
        <v>1.25</v>
      </c>
      <c r="O240" s="183" t="s">
        <v>86</v>
      </c>
      <c r="P240" s="206"/>
      <c r="Q240" s="184"/>
      <c r="R240" s="185">
        <f>if(N240="","",N240*(1-$T$2))</f>
        <v>0.125</v>
      </c>
      <c r="S240" s="186">
        <f>IF(B240="","",IF(AND(E240="Stock",F240="Buy"),(100*((M240*N240)*-1)),IF(AND(E240="Call",F240="Buy"),(100*((M240*N240)*-1)),IF(AND(E240="PUT",F240="Buy"),(100*((M240*N240)*-1)),100*(M240*N240)))))</f>
        <v>375</v>
      </c>
      <c r="T240" s="187">
        <f>IF(B240="","",IF(AND(E240="Stock",F240="Buy"),(100*((M240*Q240)*1)),IF(AND(E240="Call",F240="Buy"),(100*((M240*Q240)*1)),IF(AND(E240="PUT",F240="Buy"),(100*((M240*Q240)*1)),(100*(M240*Q240))*-1))))</f>
        <v>0</v>
      </c>
      <c r="U240" s="188">
        <f t="shared" si="22"/>
        <v>375</v>
      </c>
      <c r="V240" s="189">
        <f t="shared" si="23"/>
        <v>0.004807692308</v>
      </c>
      <c r="W240" s="190" t="str">
        <f t="shared" si="38"/>
        <v/>
      </c>
      <c r="X240" s="191" t="str">
        <f>if(E240-today()&lt;0,"",E240-today())</f>
        <v>#VALUE!</v>
      </c>
      <c r="Y240" s="189" t="str">
        <f>IF(AND(#REF!="",N240=""),"",IF(N240="",TODAY()-#REF!,N240-#REF!))</f>
        <v>#REF!</v>
      </c>
      <c r="Z240" s="191" t="str">
        <f t="shared" si="8"/>
        <v/>
      </c>
      <c r="AA240" s="191">
        <f t="shared" si="9"/>
        <v>22</v>
      </c>
      <c r="AB240" s="224"/>
      <c r="AC240" s="225"/>
      <c r="AD240" s="226"/>
      <c r="AE240" s="225"/>
      <c r="AF240" s="227"/>
      <c r="AG240" s="227"/>
      <c r="AH240" s="227"/>
      <c r="AI240" s="227"/>
      <c r="AJ240" s="227"/>
      <c r="AK240" s="227"/>
      <c r="AL240" s="228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</row>
    <row r="241" ht="18.0" customHeight="1">
      <c r="A241" s="6"/>
      <c r="B241" s="217">
        <v>45035.0</v>
      </c>
      <c r="C241" s="176" t="s">
        <v>91</v>
      </c>
      <c r="D241" s="176" t="s">
        <v>112</v>
      </c>
      <c r="E241" s="176" t="s">
        <v>26</v>
      </c>
      <c r="F241" s="176" t="s">
        <v>27</v>
      </c>
      <c r="G241" s="216">
        <v>45030.0</v>
      </c>
      <c r="H241" s="179">
        <f>IFERROR(__xludf.DUMMYFUNCTION("GOOGLEFINANCE(D241,""price"")"),395.01)</f>
        <v>395.01</v>
      </c>
      <c r="I241" s="201">
        <v>192.5</v>
      </c>
      <c r="J241" s="181"/>
      <c r="K241" s="181"/>
      <c r="L241" s="181" t="str">
        <f t="shared" si="18"/>
        <v>Option Closed</v>
      </c>
      <c r="M241" s="212">
        <v>1.0</v>
      </c>
      <c r="N241" s="201">
        <v>2.8</v>
      </c>
      <c r="O241" s="183" t="s">
        <v>45</v>
      </c>
      <c r="P241" s="206"/>
      <c r="Q241" s="184"/>
      <c r="R241" s="185">
        <f>if(N241="","",N241*(1-$T$2))</f>
        <v>0.28</v>
      </c>
      <c r="S241" s="186">
        <f>IF(B241="","",IF(AND(E241="Stock",F241="Buy"),(100*((M241*N241)*-1)),IF(AND(E241="Call",F241="Buy"),(100*((M241*N241)*-1)),IF(AND(E241="PUT",F241="Buy"),(100*((M241*N241)*-1)),100*(M241*N241)))))</f>
        <v>280</v>
      </c>
      <c r="T241" s="187">
        <f>IF(B241="","",IF(AND(E241="Stock",F241="Buy"),(100*((M241*Q241)*1)),IF(AND(E241="Call",F241="Buy"),(100*((M241*Q241)*1)),IF(AND(E241="PUT",F241="Buy"),(100*((M241*Q241)*1)),(100*(M241*Q241))*-1))))</f>
        <v>0</v>
      </c>
      <c r="U241" s="188">
        <f t="shared" si="22"/>
        <v>280</v>
      </c>
      <c r="V241" s="189">
        <f t="shared" si="23"/>
        <v>0.01454545455</v>
      </c>
      <c r="W241" s="190" t="str">
        <f t="shared" si="38"/>
        <v/>
      </c>
      <c r="X241" s="191" t="str">
        <f>if(E241-today()&lt;0,"",E241-today())</f>
        <v>#VALUE!</v>
      </c>
      <c r="Y241" s="189" t="str">
        <f>IF(AND(#REF!="",N241=""),"",IF(N241="",TODAY()-#REF!,N241-#REF!))</f>
        <v>#REF!</v>
      </c>
      <c r="Z241" s="191" t="str">
        <f t="shared" si="8"/>
        <v/>
      </c>
      <c r="AA241" s="191">
        <f t="shared" si="9"/>
        <v>-5</v>
      </c>
      <c r="AB241" s="70"/>
      <c r="AC241" s="175"/>
      <c r="AD241" s="177"/>
      <c r="AE241" s="175"/>
      <c r="AF241" s="180"/>
      <c r="AG241" s="180"/>
      <c r="AH241" s="180"/>
      <c r="AI241" s="180" t="str">
        <f>IF(AC241="","",(AC241*AD241)*-1)</f>
        <v/>
      </c>
      <c r="AJ241" s="180"/>
      <c r="AK241" s="180"/>
      <c r="AL241" s="72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</row>
    <row r="242" ht="18.0" customHeight="1">
      <c r="A242" s="218"/>
      <c r="B242" s="219">
        <v>45036.0</v>
      </c>
      <c r="C242" s="176" t="s">
        <v>91</v>
      </c>
      <c r="D242" s="220" t="s">
        <v>78</v>
      </c>
      <c r="E242" s="176" t="s">
        <v>26</v>
      </c>
      <c r="F242" s="176" t="s">
        <v>27</v>
      </c>
      <c r="G242" s="221">
        <v>45065.0</v>
      </c>
      <c r="H242" s="179">
        <f>IFERROR(__xludf.DUMMYFUNCTION("GOOGLEFINANCE(D242,""price"")"),720.66)</f>
        <v>720.66</v>
      </c>
      <c r="I242" s="222">
        <v>405.0</v>
      </c>
      <c r="J242" s="223"/>
      <c r="K242" s="223"/>
      <c r="L242" s="181" t="str">
        <f t="shared" si="18"/>
        <v>Option Closed</v>
      </c>
      <c r="M242" s="212">
        <v>8.0</v>
      </c>
      <c r="N242" s="201">
        <v>1.22</v>
      </c>
      <c r="O242" s="183" t="s">
        <v>45</v>
      </c>
      <c r="P242" s="206">
        <v>45065.0</v>
      </c>
      <c r="Q242" s="184">
        <v>0.35</v>
      </c>
      <c r="R242" s="185">
        <f t="shared" ref="R242:R269" si="48">if(N242="","",N242*(1-$T$2))</f>
        <v>0.122</v>
      </c>
      <c r="S242" s="186">
        <f t="shared" ref="S242:S269" si="49">IF(B242="","",IF(AND(E242="Stock",F242="Buy"),(100*((M242*N242)*-1)),IF(AND(E242="Call",F242="Buy"),(100*((M242*N242)*-1)),IF(AND(E242="PUT",F242="Buy"),(100*((M242*N242)*-1)),100*(M242*N242)))))</f>
        <v>976</v>
      </c>
      <c r="T242" s="187">
        <f t="shared" ref="T242:T269" si="50">IF(B242="","",IF(AND(E242="Stock",F242="Buy"),(100*((M242*Q242)*1)),IF(AND(E242="Call",F242="Buy"),(100*((M242*Q242)*1)),IF(AND(E242="PUT",F242="Buy"),(100*((M242*Q242)*1)),(100*(M242*Q242))*-1))))</f>
        <v>-280</v>
      </c>
      <c r="U242" s="188">
        <f t="shared" si="22"/>
        <v>696</v>
      </c>
      <c r="V242" s="189">
        <f t="shared" si="23"/>
        <v>0.003012345679</v>
      </c>
      <c r="W242" s="190" t="str">
        <f t="shared" si="38"/>
        <v/>
      </c>
      <c r="X242" s="191" t="str">
        <f t="shared" ref="X242:X269" si="51">if(E242-today()&lt;0,"",E242-today())</f>
        <v>#VALUE!</v>
      </c>
      <c r="Y242" s="189" t="str">
        <f t="shared" ref="Y242:Y269" si="52">IF(AND(#REF!="",N242=""),"",IF(N242="",TODAY()-#REF!,N242-#REF!))</f>
        <v>#REF!</v>
      </c>
      <c r="Z242" s="191" t="str">
        <f t="shared" si="8"/>
        <v/>
      </c>
      <c r="AA242" s="191">
        <f t="shared" si="9"/>
        <v>29</v>
      </c>
      <c r="AB242" s="224"/>
      <c r="AC242" s="225"/>
      <c r="AD242" s="226"/>
      <c r="AE242" s="225"/>
      <c r="AF242" s="227"/>
      <c r="AG242" s="227"/>
      <c r="AH242" s="227"/>
      <c r="AI242" s="227"/>
      <c r="AJ242" s="227"/>
      <c r="AK242" s="227"/>
      <c r="AL242" s="228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</row>
    <row r="243" ht="18.0" customHeight="1">
      <c r="A243" s="218"/>
      <c r="B243" s="219">
        <v>45036.0</v>
      </c>
      <c r="C243" s="176" t="s">
        <v>91</v>
      </c>
      <c r="D243" s="220" t="s">
        <v>78</v>
      </c>
      <c r="E243" s="176" t="s">
        <v>26</v>
      </c>
      <c r="F243" s="176" t="s">
        <v>27</v>
      </c>
      <c r="G243" s="221">
        <v>45065.0</v>
      </c>
      <c r="H243" s="179">
        <f>IFERROR(__xludf.DUMMYFUNCTION("GOOGLEFINANCE(D243,""price"")"),720.66)</f>
        <v>720.66</v>
      </c>
      <c r="I243" s="222">
        <v>400.0</v>
      </c>
      <c r="J243" s="223"/>
      <c r="K243" s="223"/>
      <c r="L243" s="181" t="str">
        <f t="shared" si="18"/>
        <v>Option Closed</v>
      </c>
      <c r="M243" s="212">
        <v>1.0</v>
      </c>
      <c r="N243" s="201">
        <v>2.7</v>
      </c>
      <c r="O243" s="183" t="s">
        <v>45</v>
      </c>
      <c r="P243" s="206">
        <v>45065.0</v>
      </c>
      <c r="Q243" s="184">
        <v>1.5</v>
      </c>
      <c r="R243" s="185">
        <f t="shared" si="48"/>
        <v>0.27</v>
      </c>
      <c r="S243" s="186">
        <f t="shared" si="49"/>
        <v>270</v>
      </c>
      <c r="T243" s="187">
        <f t="shared" si="50"/>
        <v>-150</v>
      </c>
      <c r="U243" s="188">
        <f t="shared" si="22"/>
        <v>120</v>
      </c>
      <c r="V243" s="189">
        <f t="shared" si="23"/>
        <v>0.00675</v>
      </c>
      <c r="W243" s="190" t="str">
        <f t="shared" si="38"/>
        <v/>
      </c>
      <c r="X243" s="191" t="str">
        <f t="shared" si="51"/>
        <v>#VALUE!</v>
      </c>
      <c r="Y243" s="189" t="str">
        <f t="shared" si="52"/>
        <v>#REF!</v>
      </c>
      <c r="Z243" s="191" t="str">
        <f t="shared" si="8"/>
        <v/>
      </c>
      <c r="AA243" s="191">
        <f t="shared" si="9"/>
        <v>29</v>
      </c>
      <c r="AB243" s="224"/>
      <c r="AC243" s="225"/>
      <c r="AD243" s="226"/>
      <c r="AE243" s="225"/>
      <c r="AF243" s="227"/>
      <c r="AG243" s="227"/>
      <c r="AH243" s="227"/>
      <c r="AI243" s="227"/>
      <c r="AJ243" s="227"/>
      <c r="AK243" s="227"/>
      <c r="AL243" s="228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</row>
    <row r="244" ht="18.0" customHeight="1">
      <c r="A244" s="218"/>
      <c r="B244" s="219">
        <v>45041.0</v>
      </c>
      <c r="C244" s="176" t="s">
        <v>105</v>
      </c>
      <c r="D244" s="220" t="s">
        <v>111</v>
      </c>
      <c r="E244" s="176" t="s">
        <v>82</v>
      </c>
      <c r="F244" s="176" t="s">
        <v>27</v>
      </c>
      <c r="G244" s="221">
        <v>45065.0</v>
      </c>
      <c r="H244" s="179">
        <f>IFERROR(__xludf.DUMMYFUNCTION("GOOGLEFINANCE(D244,""price"")"),327.92)</f>
        <v>327.92</v>
      </c>
      <c r="I244" s="222">
        <v>200.0</v>
      </c>
      <c r="J244" s="223"/>
      <c r="K244" s="223"/>
      <c r="L244" s="181" t="str">
        <f t="shared" si="18"/>
        <v>Option Closed</v>
      </c>
      <c r="M244" s="212">
        <v>2.0</v>
      </c>
      <c r="N244" s="201">
        <v>1.7</v>
      </c>
      <c r="O244" s="183" t="s">
        <v>86</v>
      </c>
      <c r="P244" s="206"/>
      <c r="Q244" s="184"/>
      <c r="R244" s="185">
        <f t="shared" si="48"/>
        <v>0.17</v>
      </c>
      <c r="S244" s="186">
        <f t="shared" si="49"/>
        <v>340</v>
      </c>
      <c r="T244" s="187">
        <f t="shared" si="50"/>
        <v>0</v>
      </c>
      <c r="U244" s="188">
        <f t="shared" si="22"/>
        <v>340</v>
      </c>
      <c r="V244" s="189">
        <f t="shared" si="23"/>
        <v>0.0085</v>
      </c>
      <c r="W244" s="190" t="str">
        <f t="shared" si="38"/>
        <v/>
      </c>
      <c r="X244" s="191" t="str">
        <f t="shared" si="51"/>
        <v>#VALUE!</v>
      </c>
      <c r="Y244" s="189" t="str">
        <f t="shared" si="52"/>
        <v>#REF!</v>
      </c>
      <c r="Z244" s="191" t="str">
        <f t="shared" si="8"/>
        <v/>
      </c>
      <c r="AA244" s="191">
        <f t="shared" si="9"/>
        <v>24</v>
      </c>
      <c r="AB244" s="224"/>
      <c r="AC244" s="225"/>
      <c r="AD244" s="226"/>
      <c r="AE244" s="225"/>
      <c r="AF244" s="227"/>
      <c r="AG244" s="227"/>
      <c r="AH244" s="227"/>
      <c r="AI244" s="227"/>
      <c r="AJ244" s="227"/>
      <c r="AK244" s="227"/>
      <c r="AL244" s="228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</row>
    <row r="245" ht="18.0" customHeight="1">
      <c r="A245" s="218"/>
      <c r="B245" s="219">
        <v>45041.0</v>
      </c>
      <c r="C245" s="176" t="s">
        <v>105</v>
      </c>
      <c r="D245" s="220" t="s">
        <v>111</v>
      </c>
      <c r="E245" s="176" t="s">
        <v>82</v>
      </c>
      <c r="F245" s="176" t="s">
        <v>27</v>
      </c>
      <c r="G245" s="221">
        <v>45065.0</v>
      </c>
      <c r="H245" s="179">
        <f>IFERROR(__xludf.DUMMYFUNCTION("GOOGLEFINANCE(D245,""price"")"),327.92)</f>
        <v>327.92</v>
      </c>
      <c r="I245" s="222">
        <v>198.0</v>
      </c>
      <c r="J245" s="223"/>
      <c r="K245" s="223"/>
      <c r="L245" s="181" t="str">
        <f t="shared" si="18"/>
        <v>Option Closed</v>
      </c>
      <c r="M245" s="212">
        <v>2.0</v>
      </c>
      <c r="N245" s="201">
        <v>2.0</v>
      </c>
      <c r="O245" s="183" t="s">
        <v>45</v>
      </c>
      <c r="P245" s="206">
        <v>45061.0</v>
      </c>
      <c r="Q245" s="184">
        <v>0.1</v>
      </c>
      <c r="R245" s="185">
        <f t="shared" si="48"/>
        <v>0.2</v>
      </c>
      <c r="S245" s="186">
        <f t="shared" si="49"/>
        <v>400</v>
      </c>
      <c r="T245" s="187">
        <f t="shared" si="50"/>
        <v>-20</v>
      </c>
      <c r="U245" s="188">
        <f t="shared" si="22"/>
        <v>380</v>
      </c>
      <c r="V245" s="189">
        <f t="shared" si="23"/>
        <v>0.0101010101</v>
      </c>
      <c r="W245" s="190" t="str">
        <f t="shared" si="38"/>
        <v/>
      </c>
      <c r="X245" s="191" t="str">
        <f t="shared" si="51"/>
        <v>#VALUE!</v>
      </c>
      <c r="Y245" s="189" t="str">
        <f t="shared" si="52"/>
        <v>#REF!</v>
      </c>
      <c r="Z245" s="191" t="str">
        <f t="shared" si="8"/>
        <v/>
      </c>
      <c r="AA245" s="191">
        <f t="shared" si="9"/>
        <v>20</v>
      </c>
      <c r="AB245" s="224"/>
      <c r="AC245" s="225"/>
      <c r="AD245" s="226"/>
      <c r="AE245" s="225"/>
      <c r="AF245" s="227"/>
      <c r="AG245" s="227"/>
      <c r="AH245" s="227"/>
      <c r="AI245" s="227"/>
      <c r="AJ245" s="227"/>
      <c r="AK245" s="227"/>
      <c r="AL245" s="228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</row>
    <row r="246" ht="18.0" customHeight="1">
      <c r="A246" s="218"/>
      <c r="B246" s="219">
        <v>45043.0</v>
      </c>
      <c r="C246" s="176" t="s">
        <v>91</v>
      </c>
      <c r="D246" s="220" t="s">
        <v>112</v>
      </c>
      <c r="E246" s="176" t="s">
        <v>26</v>
      </c>
      <c r="F246" s="176" t="s">
        <v>27</v>
      </c>
      <c r="G246" s="221">
        <v>45058.0</v>
      </c>
      <c r="H246" s="179">
        <f>IFERROR(__xludf.DUMMYFUNCTION("GOOGLEFINANCE(D246,""price"")"),395.01)</f>
        <v>395.01</v>
      </c>
      <c r="I246" s="222">
        <v>175.0</v>
      </c>
      <c r="J246" s="223"/>
      <c r="K246" s="223"/>
      <c r="L246" s="181" t="str">
        <f t="shared" si="18"/>
        <v>Option Closed</v>
      </c>
      <c r="M246" s="212">
        <v>1.0</v>
      </c>
      <c r="N246" s="201">
        <v>1.7</v>
      </c>
      <c r="O246" s="183" t="s">
        <v>86</v>
      </c>
      <c r="P246" s="206"/>
      <c r="Q246" s="184"/>
      <c r="R246" s="185">
        <f t="shared" si="48"/>
        <v>0.17</v>
      </c>
      <c r="S246" s="186">
        <f t="shared" si="49"/>
        <v>170</v>
      </c>
      <c r="T246" s="187">
        <f t="shared" si="50"/>
        <v>0</v>
      </c>
      <c r="U246" s="188">
        <f t="shared" si="22"/>
        <v>170</v>
      </c>
      <c r="V246" s="189">
        <f t="shared" si="23"/>
        <v>0.009714285714</v>
      </c>
      <c r="W246" s="190" t="str">
        <f t="shared" si="38"/>
        <v/>
      </c>
      <c r="X246" s="191" t="str">
        <f t="shared" si="51"/>
        <v>#VALUE!</v>
      </c>
      <c r="Y246" s="189" t="str">
        <f t="shared" si="52"/>
        <v>#REF!</v>
      </c>
      <c r="Z246" s="191" t="str">
        <f t="shared" si="8"/>
        <v/>
      </c>
      <c r="AA246" s="191">
        <f t="shared" si="9"/>
        <v>15</v>
      </c>
      <c r="AB246" s="224"/>
      <c r="AC246" s="225"/>
      <c r="AD246" s="226"/>
      <c r="AE246" s="225"/>
      <c r="AF246" s="227"/>
      <c r="AG246" s="227"/>
      <c r="AH246" s="227"/>
      <c r="AI246" s="227"/>
      <c r="AJ246" s="227"/>
      <c r="AK246" s="227"/>
      <c r="AL246" s="228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</row>
    <row r="247" ht="18.0" customHeight="1">
      <c r="A247" s="218"/>
      <c r="B247" s="219">
        <v>45043.0</v>
      </c>
      <c r="C247" s="176" t="s">
        <v>91</v>
      </c>
      <c r="D247" s="220" t="s">
        <v>99</v>
      </c>
      <c r="E247" s="176" t="s">
        <v>26</v>
      </c>
      <c r="F247" s="176" t="s">
        <v>27</v>
      </c>
      <c r="G247" s="221">
        <v>45058.0</v>
      </c>
      <c r="H247" s="179">
        <f>IFERROR(__xludf.DUMMYFUNCTION("GOOGLEFINANCE(D247,""price"")"),365.93)</f>
        <v>365.93</v>
      </c>
      <c r="I247" s="222">
        <v>260.0</v>
      </c>
      <c r="J247" s="223"/>
      <c r="K247" s="223"/>
      <c r="L247" s="181" t="str">
        <f t="shared" si="18"/>
        <v>Option Closed</v>
      </c>
      <c r="M247" s="212">
        <v>3.0</v>
      </c>
      <c r="N247" s="201">
        <v>1.3</v>
      </c>
      <c r="O247" s="183" t="s">
        <v>45</v>
      </c>
      <c r="P247" s="206">
        <v>45065.0</v>
      </c>
      <c r="Q247" s="184">
        <v>0.05</v>
      </c>
      <c r="R247" s="185">
        <f t="shared" si="48"/>
        <v>0.13</v>
      </c>
      <c r="S247" s="186">
        <f t="shared" si="49"/>
        <v>390</v>
      </c>
      <c r="T247" s="187">
        <f t="shared" si="50"/>
        <v>-15</v>
      </c>
      <c r="U247" s="188">
        <f t="shared" si="22"/>
        <v>375</v>
      </c>
      <c r="V247" s="189">
        <f t="shared" si="23"/>
        <v>0.005</v>
      </c>
      <c r="W247" s="190" t="str">
        <f t="shared" si="38"/>
        <v/>
      </c>
      <c r="X247" s="191" t="str">
        <f t="shared" si="51"/>
        <v>#VALUE!</v>
      </c>
      <c r="Y247" s="189" t="str">
        <f t="shared" si="52"/>
        <v>#REF!</v>
      </c>
      <c r="Z247" s="191" t="str">
        <f t="shared" si="8"/>
        <v/>
      </c>
      <c r="AA247" s="191">
        <f t="shared" si="9"/>
        <v>15</v>
      </c>
      <c r="AB247" s="224"/>
      <c r="AC247" s="225"/>
      <c r="AD247" s="226"/>
      <c r="AE247" s="225"/>
      <c r="AF247" s="227"/>
      <c r="AG247" s="227"/>
      <c r="AH247" s="227"/>
      <c r="AI247" s="227"/>
      <c r="AJ247" s="227"/>
      <c r="AK247" s="227"/>
      <c r="AL247" s="228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</row>
    <row r="248" ht="18.0" customHeight="1">
      <c r="A248" s="218"/>
      <c r="B248" s="219">
        <v>45044.0</v>
      </c>
      <c r="C248" s="176" t="s">
        <v>91</v>
      </c>
      <c r="D248" s="220" t="s">
        <v>111</v>
      </c>
      <c r="E248" s="176" t="s">
        <v>26</v>
      </c>
      <c r="F248" s="176" t="s">
        <v>27</v>
      </c>
      <c r="G248" s="221">
        <v>45065.0</v>
      </c>
      <c r="H248" s="179">
        <f>IFERROR(__xludf.DUMMYFUNCTION("GOOGLEFINANCE(D248,""price"")"),327.92)</f>
        <v>327.92</v>
      </c>
      <c r="I248" s="222">
        <v>210.0</v>
      </c>
      <c r="J248" s="223"/>
      <c r="K248" s="223"/>
      <c r="L248" s="181" t="str">
        <f t="shared" si="18"/>
        <v>Option Closed</v>
      </c>
      <c r="M248" s="212">
        <v>5.0</v>
      </c>
      <c r="N248" s="201">
        <v>1.0</v>
      </c>
      <c r="O248" s="183" t="s">
        <v>45</v>
      </c>
      <c r="P248" s="206">
        <v>45058.0</v>
      </c>
      <c r="Q248" s="184">
        <v>0.05</v>
      </c>
      <c r="R248" s="185">
        <f t="shared" si="48"/>
        <v>0.1</v>
      </c>
      <c r="S248" s="186">
        <f t="shared" si="49"/>
        <v>500</v>
      </c>
      <c r="T248" s="187">
        <f t="shared" si="50"/>
        <v>-25</v>
      </c>
      <c r="U248" s="188">
        <f t="shared" si="22"/>
        <v>475</v>
      </c>
      <c r="V248" s="189">
        <f t="shared" si="23"/>
        <v>0.004761904762</v>
      </c>
      <c r="W248" s="190" t="str">
        <f t="shared" si="38"/>
        <v/>
      </c>
      <c r="X248" s="191" t="str">
        <f t="shared" si="51"/>
        <v>#VALUE!</v>
      </c>
      <c r="Y248" s="189" t="str">
        <f t="shared" si="52"/>
        <v>#REF!</v>
      </c>
      <c r="Z248" s="191" t="str">
        <f t="shared" si="8"/>
        <v/>
      </c>
      <c r="AA248" s="191">
        <f t="shared" si="9"/>
        <v>14</v>
      </c>
      <c r="AB248" s="224"/>
      <c r="AC248" s="225"/>
      <c r="AD248" s="226"/>
      <c r="AE248" s="225"/>
      <c r="AF248" s="227"/>
      <c r="AG248" s="227"/>
      <c r="AH248" s="227"/>
      <c r="AI248" s="227"/>
      <c r="AJ248" s="227"/>
      <c r="AK248" s="227"/>
      <c r="AL248" s="228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</row>
    <row r="249" ht="18.0" customHeight="1">
      <c r="A249" s="218"/>
      <c r="B249" s="219">
        <v>45050.0</v>
      </c>
      <c r="C249" s="176" t="s">
        <v>105</v>
      </c>
      <c r="D249" s="220" t="s">
        <v>110</v>
      </c>
      <c r="E249" s="176" t="s">
        <v>82</v>
      </c>
      <c r="F249" s="176" t="s">
        <v>27</v>
      </c>
      <c r="G249" s="221">
        <v>45065.0</v>
      </c>
      <c r="H249" s="179">
        <f>IFERROR(__xludf.DUMMYFUNCTION("GOOGLEFINANCE(D249,""price"")"),491.89)</f>
        <v>491.89</v>
      </c>
      <c r="I249" s="222">
        <v>310.0</v>
      </c>
      <c r="J249" s="223"/>
      <c r="K249" s="223"/>
      <c r="L249" s="181" t="str">
        <f t="shared" si="18"/>
        <v>Option Closed</v>
      </c>
      <c r="M249" s="212">
        <v>1.0</v>
      </c>
      <c r="N249" s="201">
        <v>3.0</v>
      </c>
      <c r="O249" s="183" t="s">
        <v>86</v>
      </c>
      <c r="P249" s="206"/>
      <c r="Q249" s="184"/>
      <c r="R249" s="185">
        <f t="shared" si="48"/>
        <v>0.3</v>
      </c>
      <c r="S249" s="186">
        <f t="shared" si="49"/>
        <v>300</v>
      </c>
      <c r="T249" s="187">
        <f t="shared" si="50"/>
        <v>0</v>
      </c>
      <c r="U249" s="188">
        <f t="shared" si="22"/>
        <v>300</v>
      </c>
      <c r="V249" s="189">
        <f t="shared" si="23"/>
        <v>0.009677419355</v>
      </c>
      <c r="W249" s="190" t="str">
        <f t="shared" si="38"/>
        <v/>
      </c>
      <c r="X249" s="191" t="str">
        <f t="shared" si="51"/>
        <v>#VALUE!</v>
      </c>
      <c r="Y249" s="189" t="str">
        <f t="shared" si="52"/>
        <v>#REF!</v>
      </c>
      <c r="Z249" s="191" t="str">
        <f t="shared" si="8"/>
        <v/>
      </c>
      <c r="AA249" s="191">
        <f t="shared" si="9"/>
        <v>15</v>
      </c>
      <c r="AB249" s="224"/>
      <c r="AC249" s="225"/>
      <c r="AD249" s="226"/>
      <c r="AE249" s="225"/>
      <c r="AF249" s="227"/>
      <c r="AG249" s="227"/>
      <c r="AH249" s="227"/>
      <c r="AI249" s="227"/>
      <c r="AJ249" s="227"/>
      <c r="AK249" s="227"/>
      <c r="AL249" s="228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</row>
    <row r="250" ht="18.0" customHeight="1">
      <c r="A250" s="218"/>
      <c r="B250" s="219">
        <v>45063.0</v>
      </c>
      <c r="C250" s="176" t="s">
        <v>91</v>
      </c>
      <c r="D250" s="220" t="s">
        <v>112</v>
      </c>
      <c r="E250" s="176" t="s">
        <v>26</v>
      </c>
      <c r="F250" s="176" t="s">
        <v>27</v>
      </c>
      <c r="G250" s="221">
        <v>45079.0</v>
      </c>
      <c r="H250" s="179">
        <f>IFERROR(__xludf.DUMMYFUNCTION("GOOGLEFINANCE(D250,""price"")"),395.01)</f>
        <v>395.01</v>
      </c>
      <c r="I250" s="222">
        <v>180.0</v>
      </c>
      <c r="J250" s="223"/>
      <c r="K250" s="223"/>
      <c r="L250" s="181" t="str">
        <f t="shared" si="18"/>
        <v>Option Closed</v>
      </c>
      <c r="M250" s="212">
        <v>1.0</v>
      </c>
      <c r="N250" s="201">
        <v>2.5</v>
      </c>
      <c r="O250" s="183" t="s">
        <v>98</v>
      </c>
      <c r="P250" s="206"/>
      <c r="Q250" s="184"/>
      <c r="R250" s="185">
        <f t="shared" si="48"/>
        <v>0.25</v>
      </c>
      <c r="S250" s="186">
        <f t="shared" si="49"/>
        <v>250</v>
      </c>
      <c r="T250" s="187">
        <f t="shared" si="50"/>
        <v>0</v>
      </c>
      <c r="U250" s="188">
        <f t="shared" si="22"/>
        <v>250</v>
      </c>
      <c r="V250" s="189">
        <f t="shared" si="23"/>
        <v>0.01388888889</v>
      </c>
      <c r="W250" s="190" t="str">
        <f t="shared" si="38"/>
        <v/>
      </c>
      <c r="X250" s="191" t="str">
        <f t="shared" si="51"/>
        <v>#VALUE!</v>
      </c>
      <c r="Y250" s="189" t="str">
        <f t="shared" si="52"/>
        <v>#REF!</v>
      </c>
      <c r="Z250" s="191" t="str">
        <f t="shared" si="8"/>
        <v/>
      </c>
      <c r="AA250" s="191">
        <f t="shared" si="9"/>
        <v>16</v>
      </c>
      <c r="AB250" s="224"/>
      <c r="AC250" s="225"/>
      <c r="AD250" s="226"/>
      <c r="AE250" s="225"/>
      <c r="AF250" s="227"/>
      <c r="AG250" s="227"/>
      <c r="AH250" s="227"/>
      <c r="AI250" s="227"/>
      <c r="AJ250" s="227"/>
      <c r="AK250" s="227"/>
      <c r="AL250" s="228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</row>
    <row r="251" ht="18.0" customHeight="1">
      <c r="A251" s="218"/>
      <c r="B251" s="219">
        <v>45063.0</v>
      </c>
      <c r="C251" s="176" t="s">
        <v>91</v>
      </c>
      <c r="D251" s="220" t="s">
        <v>111</v>
      </c>
      <c r="E251" s="176" t="s">
        <v>26</v>
      </c>
      <c r="F251" s="176" t="s">
        <v>27</v>
      </c>
      <c r="G251" s="221">
        <v>45093.0</v>
      </c>
      <c r="H251" s="179">
        <f>IFERROR(__xludf.DUMMYFUNCTION("GOOGLEFINANCE(D251,""price"")"),327.92)</f>
        <v>327.92</v>
      </c>
      <c r="I251" s="222">
        <v>210.0</v>
      </c>
      <c r="J251" s="223"/>
      <c r="K251" s="223"/>
      <c r="L251" s="181" t="str">
        <f t="shared" si="18"/>
        <v>Option Closed</v>
      </c>
      <c r="M251" s="212">
        <v>6.0</v>
      </c>
      <c r="N251" s="201">
        <v>1.14</v>
      </c>
      <c r="O251" s="183" t="s">
        <v>98</v>
      </c>
      <c r="P251" s="206"/>
      <c r="Q251" s="184"/>
      <c r="R251" s="185">
        <f t="shared" si="48"/>
        <v>0.114</v>
      </c>
      <c r="S251" s="186">
        <f t="shared" si="49"/>
        <v>684</v>
      </c>
      <c r="T251" s="187">
        <f t="shared" si="50"/>
        <v>0</v>
      </c>
      <c r="U251" s="188">
        <f t="shared" si="22"/>
        <v>684</v>
      </c>
      <c r="V251" s="189">
        <f t="shared" si="23"/>
        <v>0.005428571429</v>
      </c>
      <c r="W251" s="190" t="str">
        <f t="shared" si="38"/>
        <v/>
      </c>
      <c r="X251" s="191" t="str">
        <f t="shared" si="51"/>
        <v>#VALUE!</v>
      </c>
      <c r="Y251" s="189" t="str">
        <f t="shared" si="52"/>
        <v>#REF!</v>
      </c>
      <c r="Z251" s="191" t="str">
        <f t="shared" si="8"/>
        <v/>
      </c>
      <c r="AA251" s="191">
        <f t="shared" si="9"/>
        <v>30</v>
      </c>
      <c r="AB251" s="224"/>
      <c r="AC251" s="225"/>
      <c r="AD251" s="226"/>
      <c r="AE251" s="225"/>
      <c r="AF251" s="227"/>
      <c r="AG251" s="227"/>
      <c r="AH251" s="227"/>
      <c r="AI251" s="227"/>
      <c r="AJ251" s="227"/>
      <c r="AK251" s="227"/>
      <c r="AL251" s="228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</row>
    <row r="252" ht="18.0" customHeight="1">
      <c r="A252" s="218"/>
      <c r="B252" s="219">
        <v>45063.0</v>
      </c>
      <c r="C252" s="176" t="s">
        <v>105</v>
      </c>
      <c r="D252" s="220" t="s">
        <v>111</v>
      </c>
      <c r="E252" s="176" t="s">
        <v>82</v>
      </c>
      <c r="F252" s="176" t="s">
        <v>27</v>
      </c>
      <c r="G252" s="221">
        <v>45093.0</v>
      </c>
      <c r="H252" s="179">
        <f>IFERROR(__xludf.DUMMYFUNCTION("GOOGLEFINANCE(D252,""price"")"),327.92)</f>
        <v>327.92</v>
      </c>
      <c r="I252" s="222">
        <v>200.0</v>
      </c>
      <c r="J252" s="223"/>
      <c r="K252" s="223"/>
      <c r="L252" s="181" t="str">
        <f t="shared" si="18"/>
        <v>Option Closed</v>
      </c>
      <c r="M252" s="212">
        <v>2.0</v>
      </c>
      <c r="N252" s="201">
        <v>2.05</v>
      </c>
      <c r="O252" s="183" t="s">
        <v>86</v>
      </c>
      <c r="P252" s="206"/>
      <c r="Q252" s="184"/>
      <c r="R252" s="185">
        <f t="shared" si="48"/>
        <v>0.205</v>
      </c>
      <c r="S252" s="186">
        <f t="shared" si="49"/>
        <v>410</v>
      </c>
      <c r="T252" s="187">
        <f t="shared" si="50"/>
        <v>0</v>
      </c>
      <c r="U252" s="188">
        <f t="shared" si="22"/>
        <v>410</v>
      </c>
      <c r="V252" s="189">
        <f t="shared" si="23"/>
        <v>0.01025</v>
      </c>
      <c r="W252" s="190" t="str">
        <f t="shared" si="38"/>
        <v/>
      </c>
      <c r="X252" s="191" t="str">
        <f t="shared" si="51"/>
        <v>#VALUE!</v>
      </c>
      <c r="Y252" s="189" t="str">
        <f t="shared" si="52"/>
        <v>#REF!</v>
      </c>
      <c r="Z252" s="191" t="str">
        <f t="shared" si="8"/>
        <v/>
      </c>
      <c r="AA252" s="191">
        <f t="shared" si="9"/>
        <v>30</v>
      </c>
      <c r="AB252" s="224"/>
      <c r="AC252" s="225"/>
      <c r="AD252" s="226"/>
      <c r="AE252" s="225"/>
      <c r="AF252" s="227"/>
      <c r="AG252" s="227"/>
      <c r="AH252" s="227"/>
      <c r="AI252" s="227"/>
      <c r="AJ252" s="227"/>
      <c r="AK252" s="227"/>
      <c r="AL252" s="228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</row>
    <row r="253" ht="18.0" customHeight="1">
      <c r="A253" s="218"/>
      <c r="B253" s="219">
        <v>45065.0</v>
      </c>
      <c r="C253" s="176" t="s">
        <v>91</v>
      </c>
      <c r="D253" s="220" t="s">
        <v>78</v>
      </c>
      <c r="E253" s="176" t="s">
        <v>26</v>
      </c>
      <c r="F253" s="176" t="s">
        <v>27</v>
      </c>
      <c r="G253" s="221">
        <v>45093.0</v>
      </c>
      <c r="H253" s="179">
        <f>IFERROR(__xludf.DUMMYFUNCTION("GOOGLEFINANCE(D253,""price"")"),720.66)</f>
        <v>720.66</v>
      </c>
      <c r="I253" s="222">
        <v>420.0</v>
      </c>
      <c r="J253" s="223"/>
      <c r="K253" s="223"/>
      <c r="L253" s="181" t="str">
        <f t="shared" si="18"/>
        <v>Option Closed</v>
      </c>
      <c r="M253" s="212">
        <v>8.0</v>
      </c>
      <c r="N253" s="201">
        <v>2.0</v>
      </c>
      <c r="O253" s="183" t="s">
        <v>98</v>
      </c>
      <c r="P253" s="206"/>
      <c r="Q253" s="184"/>
      <c r="R253" s="185">
        <f t="shared" si="48"/>
        <v>0.2</v>
      </c>
      <c r="S253" s="186">
        <f t="shared" si="49"/>
        <v>1600</v>
      </c>
      <c r="T253" s="187">
        <f t="shared" si="50"/>
        <v>0</v>
      </c>
      <c r="U253" s="188">
        <f t="shared" si="22"/>
        <v>1600</v>
      </c>
      <c r="V253" s="189">
        <f t="shared" si="23"/>
        <v>0.004761904762</v>
      </c>
      <c r="W253" s="190" t="str">
        <f t="shared" si="38"/>
        <v/>
      </c>
      <c r="X253" s="191" t="str">
        <f t="shared" si="51"/>
        <v>#VALUE!</v>
      </c>
      <c r="Y253" s="189" t="str">
        <f t="shared" si="52"/>
        <v>#REF!</v>
      </c>
      <c r="Z253" s="191" t="str">
        <f t="shared" si="8"/>
        <v/>
      </c>
      <c r="AA253" s="191">
        <f t="shared" si="9"/>
        <v>28</v>
      </c>
      <c r="AB253" s="224"/>
      <c r="AC253" s="225"/>
      <c r="AD253" s="226"/>
      <c r="AE253" s="225"/>
      <c r="AF253" s="227"/>
      <c r="AG253" s="227"/>
      <c r="AH253" s="227"/>
      <c r="AI253" s="227"/>
      <c r="AJ253" s="227"/>
      <c r="AK253" s="227"/>
      <c r="AL253" s="228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</row>
    <row r="254" ht="18.0" customHeight="1">
      <c r="A254" s="218"/>
      <c r="B254" s="219">
        <v>45065.0</v>
      </c>
      <c r="C254" s="176" t="s">
        <v>91</v>
      </c>
      <c r="D254" s="220" t="s">
        <v>78</v>
      </c>
      <c r="E254" s="176" t="s">
        <v>26</v>
      </c>
      <c r="F254" s="176" t="s">
        <v>27</v>
      </c>
      <c r="G254" s="221">
        <v>45093.0</v>
      </c>
      <c r="H254" s="179">
        <f>IFERROR(__xludf.DUMMYFUNCTION("GOOGLEFINANCE(D254,""price"")"),720.66)</f>
        <v>720.66</v>
      </c>
      <c r="I254" s="222">
        <v>405.0</v>
      </c>
      <c r="J254" s="223"/>
      <c r="K254" s="223"/>
      <c r="L254" s="181" t="str">
        <f t="shared" si="18"/>
        <v>Option Closed</v>
      </c>
      <c r="M254" s="212">
        <v>1.0</v>
      </c>
      <c r="N254" s="201">
        <v>6.8</v>
      </c>
      <c r="O254" s="183" t="s">
        <v>86</v>
      </c>
      <c r="P254" s="206"/>
      <c r="Q254" s="184"/>
      <c r="R254" s="185">
        <f t="shared" si="48"/>
        <v>0.68</v>
      </c>
      <c r="S254" s="186">
        <f t="shared" si="49"/>
        <v>680</v>
      </c>
      <c r="T254" s="187">
        <f t="shared" si="50"/>
        <v>0</v>
      </c>
      <c r="U254" s="188">
        <f t="shared" si="22"/>
        <v>680</v>
      </c>
      <c r="V254" s="189">
        <f t="shared" si="23"/>
        <v>0.01679012346</v>
      </c>
      <c r="W254" s="190" t="str">
        <f t="shared" si="38"/>
        <v/>
      </c>
      <c r="X254" s="191" t="str">
        <f t="shared" si="51"/>
        <v>#VALUE!</v>
      </c>
      <c r="Y254" s="189" t="str">
        <f t="shared" si="52"/>
        <v>#REF!</v>
      </c>
      <c r="Z254" s="191" t="str">
        <f t="shared" si="8"/>
        <v/>
      </c>
      <c r="AA254" s="191">
        <f t="shared" si="9"/>
        <v>28</v>
      </c>
      <c r="AB254" s="224"/>
      <c r="AC254" s="225"/>
      <c r="AD254" s="226"/>
      <c r="AE254" s="225"/>
      <c r="AF254" s="227"/>
      <c r="AG254" s="227"/>
      <c r="AH254" s="227"/>
      <c r="AI254" s="227"/>
      <c r="AJ254" s="227"/>
      <c r="AK254" s="227"/>
      <c r="AL254" s="228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</row>
    <row r="255" ht="18.0" customHeight="1">
      <c r="A255" s="218"/>
      <c r="B255" s="219">
        <v>45065.0</v>
      </c>
      <c r="C255" s="176" t="s">
        <v>91</v>
      </c>
      <c r="D255" s="220" t="s">
        <v>99</v>
      </c>
      <c r="E255" s="176" t="s">
        <v>26</v>
      </c>
      <c r="F255" s="176" t="s">
        <v>27</v>
      </c>
      <c r="G255" s="221">
        <v>45093.0</v>
      </c>
      <c r="H255" s="179">
        <f>IFERROR(__xludf.DUMMYFUNCTION("GOOGLEFINANCE(D255,""price"")"),365.93)</f>
        <v>365.93</v>
      </c>
      <c r="I255" s="222">
        <v>265.0</v>
      </c>
      <c r="J255" s="223"/>
      <c r="K255" s="223"/>
      <c r="L255" s="181" t="str">
        <f t="shared" si="18"/>
        <v>Option Closed</v>
      </c>
      <c r="M255" s="212">
        <v>3.0</v>
      </c>
      <c r="N255" s="201">
        <v>1.4</v>
      </c>
      <c r="O255" s="183" t="s">
        <v>98</v>
      </c>
      <c r="P255" s="206"/>
      <c r="Q255" s="184"/>
      <c r="R255" s="185">
        <f t="shared" si="48"/>
        <v>0.14</v>
      </c>
      <c r="S255" s="186">
        <f t="shared" si="49"/>
        <v>420</v>
      </c>
      <c r="T255" s="187">
        <f t="shared" si="50"/>
        <v>0</v>
      </c>
      <c r="U255" s="188">
        <f t="shared" si="22"/>
        <v>420</v>
      </c>
      <c r="V255" s="189">
        <f t="shared" si="23"/>
        <v>0.005283018868</v>
      </c>
      <c r="W255" s="190" t="str">
        <f t="shared" si="38"/>
        <v/>
      </c>
      <c r="X255" s="191" t="str">
        <f t="shared" si="51"/>
        <v>#VALUE!</v>
      </c>
      <c r="Y255" s="189" t="str">
        <f t="shared" si="52"/>
        <v>#REF!</v>
      </c>
      <c r="Z255" s="191" t="str">
        <f t="shared" si="8"/>
        <v/>
      </c>
      <c r="AA255" s="191">
        <f t="shared" si="9"/>
        <v>28</v>
      </c>
      <c r="AB255" s="224"/>
      <c r="AC255" s="225"/>
      <c r="AD255" s="226"/>
      <c r="AE255" s="225"/>
      <c r="AF255" s="227"/>
      <c r="AG255" s="227"/>
      <c r="AH255" s="227"/>
      <c r="AI255" s="227"/>
      <c r="AJ255" s="227"/>
      <c r="AK255" s="227"/>
      <c r="AL255" s="228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</row>
    <row r="256" ht="18.0" customHeight="1">
      <c r="A256" s="218"/>
      <c r="B256" s="219">
        <v>45068.0</v>
      </c>
      <c r="C256" s="176" t="s">
        <v>91</v>
      </c>
      <c r="D256" s="220" t="s">
        <v>76</v>
      </c>
      <c r="E256" s="176" t="s">
        <v>26</v>
      </c>
      <c r="F256" s="176" t="s">
        <v>27</v>
      </c>
      <c r="G256" s="221">
        <v>45093.0</v>
      </c>
      <c r="H256" s="179">
        <f>IFERROR(__xludf.DUMMYFUNCTION("GOOGLEFINANCE(D256,""price"")"),7.53)</f>
        <v>7.53</v>
      </c>
      <c r="I256" s="222">
        <v>42.0</v>
      </c>
      <c r="J256" s="223"/>
      <c r="K256" s="223"/>
      <c r="L256" s="181" t="str">
        <f t="shared" si="18"/>
        <v>Option Closed</v>
      </c>
      <c r="M256" s="212">
        <v>2.0</v>
      </c>
      <c r="N256" s="201">
        <v>0.6</v>
      </c>
      <c r="O256" s="183" t="s">
        <v>86</v>
      </c>
      <c r="P256" s="206"/>
      <c r="Q256" s="184"/>
      <c r="R256" s="185">
        <f t="shared" si="48"/>
        <v>0.06</v>
      </c>
      <c r="S256" s="186">
        <f t="shared" si="49"/>
        <v>120</v>
      </c>
      <c r="T256" s="187">
        <f t="shared" si="50"/>
        <v>0</v>
      </c>
      <c r="U256" s="188">
        <f t="shared" si="22"/>
        <v>120</v>
      </c>
      <c r="V256" s="189">
        <f t="shared" si="23"/>
        <v>0.01428571429</v>
      </c>
      <c r="W256" s="190" t="str">
        <f t="shared" si="38"/>
        <v/>
      </c>
      <c r="X256" s="191" t="str">
        <f t="shared" si="51"/>
        <v>#VALUE!</v>
      </c>
      <c r="Y256" s="189" t="str">
        <f t="shared" si="52"/>
        <v>#REF!</v>
      </c>
      <c r="Z256" s="191" t="str">
        <f t="shared" si="8"/>
        <v/>
      </c>
      <c r="AA256" s="191">
        <f t="shared" si="9"/>
        <v>25</v>
      </c>
      <c r="AB256" s="224"/>
      <c r="AC256" s="225"/>
      <c r="AD256" s="226"/>
      <c r="AE256" s="225"/>
      <c r="AF256" s="227"/>
      <c r="AG256" s="227"/>
      <c r="AH256" s="227"/>
      <c r="AI256" s="227"/>
      <c r="AJ256" s="227"/>
      <c r="AK256" s="227"/>
      <c r="AL256" s="228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</row>
    <row r="257" ht="18.0" customHeight="1">
      <c r="A257" s="218"/>
      <c r="B257" s="219">
        <v>45062.0</v>
      </c>
      <c r="C257" s="176" t="s">
        <v>91</v>
      </c>
      <c r="D257" s="220" t="s">
        <v>88</v>
      </c>
      <c r="E257" s="176" t="s">
        <v>26</v>
      </c>
      <c r="F257" s="176" t="s">
        <v>27</v>
      </c>
      <c r="G257" s="221">
        <v>45079.0</v>
      </c>
      <c r="H257" s="179">
        <f>IFERROR(__xludf.DUMMYFUNCTION("GOOGLEFINANCE(D257,""price"")"),46.83)</f>
        <v>46.83</v>
      </c>
      <c r="I257" s="222">
        <v>31.0</v>
      </c>
      <c r="J257" s="223"/>
      <c r="K257" s="223"/>
      <c r="L257" s="181" t="str">
        <f t="shared" si="18"/>
        <v>Option Closed</v>
      </c>
      <c r="M257" s="212">
        <v>6.0</v>
      </c>
      <c r="N257" s="201">
        <v>0.3</v>
      </c>
      <c r="O257" s="183" t="s">
        <v>98</v>
      </c>
      <c r="P257" s="206">
        <v>45072.0</v>
      </c>
      <c r="Q257" s="184">
        <v>3.3</v>
      </c>
      <c r="R257" s="185">
        <f t="shared" si="48"/>
        <v>0.03</v>
      </c>
      <c r="S257" s="186">
        <f t="shared" si="49"/>
        <v>180</v>
      </c>
      <c r="T257" s="187">
        <f t="shared" si="50"/>
        <v>-1980</v>
      </c>
      <c r="U257" s="188">
        <f t="shared" si="22"/>
        <v>-1800</v>
      </c>
      <c r="V257" s="189">
        <f t="shared" si="23"/>
        <v>0.009677419355</v>
      </c>
      <c r="W257" s="190" t="str">
        <f t="shared" si="38"/>
        <v/>
      </c>
      <c r="X257" s="191" t="str">
        <f t="shared" si="51"/>
        <v>#VALUE!</v>
      </c>
      <c r="Y257" s="189" t="str">
        <f t="shared" si="52"/>
        <v>#REF!</v>
      </c>
      <c r="Z257" s="191" t="str">
        <f t="shared" si="8"/>
        <v/>
      </c>
      <c r="AA257" s="191">
        <f t="shared" si="9"/>
        <v>10</v>
      </c>
      <c r="AB257" s="224"/>
      <c r="AC257" s="225"/>
      <c r="AD257" s="226"/>
      <c r="AE257" s="225"/>
      <c r="AF257" s="227"/>
      <c r="AG257" s="227"/>
      <c r="AH257" s="227"/>
      <c r="AI257" s="227"/>
      <c r="AJ257" s="227"/>
      <c r="AK257" s="227"/>
      <c r="AL257" s="228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</row>
    <row r="258" ht="18.0" customHeight="1">
      <c r="A258" s="218"/>
      <c r="B258" s="219">
        <v>45069.0</v>
      </c>
      <c r="C258" s="176" t="s">
        <v>91</v>
      </c>
      <c r="D258" s="220" t="s">
        <v>100</v>
      </c>
      <c r="E258" s="176" t="s">
        <v>26</v>
      </c>
      <c r="F258" s="176" t="s">
        <v>27</v>
      </c>
      <c r="G258" s="221">
        <v>45093.0</v>
      </c>
      <c r="H258" s="179">
        <f>IFERROR(__xludf.DUMMYFUNCTION("GOOGLEFINANCE(D258,""price"")"),127.08)</f>
        <v>127.08</v>
      </c>
      <c r="I258" s="222">
        <v>54.0</v>
      </c>
      <c r="J258" s="223"/>
      <c r="K258" s="223"/>
      <c r="L258" s="181" t="str">
        <f t="shared" si="18"/>
        <v>Option Closed</v>
      </c>
      <c r="M258" s="212">
        <v>1.0</v>
      </c>
      <c r="N258" s="201">
        <v>0.8</v>
      </c>
      <c r="O258" s="183" t="s">
        <v>98</v>
      </c>
      <c r="P258" s="206"/>
      <c r="Q258" s="184"/>
      <c r="R258" s="185">
        <f t="shared" si="48"/>
        <v>0.08</v>
      </c>
      <c r="S258" s="186">
        <f t="shared" si="49"/>
        <v>80</v>
      </c>
      <c r="T258" s="187">
        <f t="shared" si="50"/>
        <v>0</v>
      </c>
      <c r="U258" s="188">
        <f t="shared" si="22"/>
        <v>80</v>
      </c>
      <c r="V258" s="189">
        <f t="shared" si="23"/>
        <v>0.01481481481</v>
      </c>
      <c r="W258" s="190" t="str">
        <f t="shared" si="38"/>
        <v/>
      </c>
      <c r="X258" s="191" t="str">
        <f t="shared" si="51"/>
        <v>#VALUE!</v>
      </c>
      <c r="Y258" s="189" t="str">
        <f t="shared" si="52"/>
        <v>#REF!</v>
      </c>
      <c r="Z258" s="191" t="str">
        <f t="shared" si="8"/>
        <v/>
      </c>
      <c r="AA258" s="191">
        <f t="shared" si="9"/>
        <v>24</v>
      </c>
      <c r="AB258" s="224"/>
      <c r="AC258" s="225"/>
      <c r="AD258" s="226"/>
      <c r="AE258" s="225"/>
      <c r="AF258" s="227"/>
      <c r="AG258" s="227"/>
      <c r="AH258" s="227"/>
      <c r="AI258" s="227"/>
      <c r="AJ258" s="227"/>
      <c r="AK258" s="227"/>
      <c r="AL258" s="228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</row>
    <row r="259" ht="18.0" customHeight="1">
      <c r="A259" s="218"/>
      <c r="B259" s="219">
        <v>45072.0</v>
      </c>
      <c r="C259" s="176" t="s">
        <v>91</v>
      </c>
      <c r="D259" s="220" t="s">
        <v>88</v>
      </c>
      <c r="E259" s="176" t="s">
        <v>26</v>
      </c>
      <c r="F259" s="176" t="s">
        <v>27</v>
      </c>
      <c r="G259" s="221">
        <v>45093.0</v>
      </c>
      <c r="H259" s="179">
        <f>IFERROR(__xludf.DUMMYFUNCTION("GOOGLEFINANCE(D259,""price"")"),46.83)</f>
        <v>46.83</v>
      </c>
      <c r="I259" s="222">
        <v>32.0</v>
      </c>
      <c r="J259" s="223"/>
      <c r="K259" s="223"/>
      <c r="L259" s="181" t="str">
        <f t="shared" si="18"/>
        <v>Option Closed</v>
      </c>
      <c r="M259" s="212">
        <v>6.0</v>
      </c>
      <c r="N259" s="201">
        <v>3.3</v>
      </c>
      <c r="O259" s="183" t="s">
        <v>98</v>
      </c>
      <c r="P259" s="206"/>
      <c r="Q259" s="184"/>
      <c r="R259" s="185">
        <f t="shared" si="48"/>
        <v>0.33</v>
      </c>
      <c r="S259" s="186">
        <f t="shared" si="49"/>
        <v>1980</v>
      </c>
      <c r="T259" s="187">
        <f t="shared" si="50"/>
        <v>0</v>
      </c>
      <c r="U259" s="188">
        <f t="shared" si="22"/>
        <v>1980</v>
      </c>
      <c r="V259" s="189">
        <f t="shared" si="23"/>
        <v>0.103125</v>
      </c>
      <c r="W259" s="190" t="str">
        <f t="shared" si="38"/>
        <v/>
      </c>
      <c r="X259" s="191" t="str">
        <f t="shared" si="51"/>
        <v>#VALUE!</v>
      </c>
      <c r="Y259" s="189" t="str">
        <f t="shared" si="52"/>
        <v>#REF!</v>
      </c>
      <c r="Z259" s="191" t="str">
        <f t="shared" si="8"/>
        <v/>
      </c>
      <c r="AA259" s="191">
        <f t="shared" si="9"/>
        <v>21</v>
      </c>
      <c r="AB259" s="224"/>
      <c r="AC259" s="225"/>
      <c r="AD259" s="226"/>
      <c r="AE259" s="225"/>
      <c r="AF259" s="227"/>
      <c r="AG259" s="227"/>
      <c r="AH259" s="227"/>
      <c r="AI259" s="227"/>
      <c r="AJ259" s="227"/>
      <c r="AK259" s="227"/>
      <c r="AL259" s="228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</row>
    <row r="260" ht="18.0" customHeight="1">
      <c r="A260" s="218"/>
      <c r="B260" s="219">
        <v>45093.0</v>
      </c>
      <c r="C260" s="176" t="s">
        <v>91</v>
      </c>
      <c r="D260" s="220" t="s">
        <v>88</v>
      </c>
      <c r="E260" s="176" t="s">
        <v>26</v>
      </c>
      <c r="F260" s="176" t="s">
        <v>27</v>
      </c>
      <c r="G260" s="221">
        <v>45185.0</v>
      </c>
      <c r="H260" s="179">
        <f>IFERROR(__xludf.DUMMYFUNCTION("GOOGLEFINANCE(D260,""price"")"),46.83)</f>
        <v>46.83</v>
      </c>
      <c r="I260" s="222">
        <v>34.0</v>
      </c>
      <c r="J260" s="223"/>
      <c r="K260" s="223"/>
      <c r="L260" s="181" t="str">
        <f t="shared" si="18"/>
        <v>Option Closed</v>
      </c>
      <c r="M260" s="212">
        <v>6.0</v>
      </c>
      <c r="N260" s="201">
        <v>0.0</v>
      </c>
      <c r="O260" s="183" t="s">
        <v>98</v>
      </c>
      <c r="P260" s="206"/>
      <c r="Q260" s="184"/>
      <c r="R260" s="185">
        <f t="shared" si="48"/>
        <v>0</v>
      </c>
      <c r="S260" s="186">
        <f t="shared" si="49"/>
        <v>0</v>
      </c>
      <c r="T260" s="187">
        <f t="shared" si="50"/>
        <v>0</v>
      </c>
      <c r="U260" s="188">
        <f t="shared" si="22"/>
        <v>0</v>
      </c>
      <c r="V260" s="189">
        <f t="shared" si="23"/>
        <v>0</v>
      </c>
      <c r="W260" s="190" t="str">
        <f t="shared" si="38"/>
        <v/>
      </c>
      <c r="X260" s="191" t="str">
        <f t="shared" si="51"/>
        <v>#VALUE!</v>
      </c>
      <c r="Y260" s="189" t="str">
        <f t="shared" si="52"/>
        <v>#REF!</v>
      </c>
      <c r="Z260" s="191" t="str">
        <f t="shared" si="8"/>
        <v/>
      </c>
      <c r="AA260" s="191">
        <f t="shared" si="9"/>
        <v>92</v>
      </c>
      <c r="AB260" s="224"/>
      <c r="AC260" s="225"/>
      <c r="AD260" s="226"/>
      <c r="AE260" s="225"/>
      <c r="AF260" s="227"/>
      <c r="AG260" s="227"/>
      <c r="AH260" s="227"/>
      <c r="AI260" s="227"/>
      <c r="AJ260" s="227"/>
      <c r="AK260" s="227"/>
      <c r="AL260" s="228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</row>
    <row r="261" ht="18.0" customHeight="1">
      <c r="A261" s="218"/>
      <c r="B261" s="219">
        <v>45093.0</v>
      </c>
      <c r="C261" s="176" t="s">
        <v>91</v>
      </c>
      <c r="D261" s="220" t="s">
        <v>112</v>
      </c>
      <c r="E261" s="176" t="s">
        <v>26</v>
      </c>
      <c r="F261" s="176" t="s">
        <v>27</v>
      </c>
      <c r="G261" s="221">
        <v>45157.0</v>
      </c>
      <c r="H261" s="179">
        <f>IFERROR(__xludf.DUMMYFUNCTION("GOOGLEFINANCE(D261,""price"")"),395.01)</f>
        <v>395.01</v>
      </c>
      <c r="I261" s="222">
        <v>195.0</v>
      </c>
      <c r="J261" s="223"/>
      <c r="K261" s="223"/>
      <c r="L261" s="181" t="str">
        <f t="shared" si="18"/>
        <v>Option Closed</v>
      </c>
      <c r="M261" s="212">
        <v>1.0</v>
      </c>
      <c r="N261" s="201">
        <v>0.0</v>
      </c>
      <c r="O261" s="183" t="s">
        <v>98</v>
      </c>
      <c r="P261" s="206"/>
      <c r="Q261" s="184"/>
      <c r="R261" s="185">
        <f t="shared" si="48"/>
        <v>0</v>
      </c>
      <c r="S261" s="186">
        <f t="shared" si="49"/>
        <v>0</v>
      </c>
      <c r="T261" s="187">
        <f t="shared" si="50"/>
        <v>0</v>
      </c>
      <c r="U261" s="188">
        <f t="shared" si="22"/>
        <v>0</v>
      </c>
      <c r="V261" s="189">
        <f t="shared" si="23"/>
        <v>0</v>
      </c>
      <c r="W261" s="190" t="str">
        <f t="shared" si="38"/>
        <v/>
      </c>
      <c r="X261" s="191" t="str">
        <f t="shared" si="51"/>
        <v>#VALUE!</v>
      </c>
      <c r="Y261" s="189" t="str">
        <f t="shared" si="52"/>
        <v>#REF!</v>
      </c>
      <c r="Z261" s="191" t="str">
        <f t="shared" si="8"/>
        <v/>
      </c>
      <c r="AA261" s="191">
        <f t="shared" si="9"/>
        <v>64</v>
      </c>
      <c r="AB261" s="224"/>
      <c r="AC261" s="225"/>
      <c r="AD261" s="226"/>
      <c r="AE261" s="225"/>
      <c r="AF261" s="227"/>
      <c r="AG261" s="227"/>
      <c r="AH261" s="227"/>
      <c r="AI261" s="227"/>
      <c r="AJ261" s="227"/>
      <c r="AK261" s="227"/>
      <c r="AL261" s="228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</row>
    <row r="262" ht="18.0" customHeight="1">
      <c r="A262" s="218"/>
      <c r="B262" s="219">
        <v>45093.0</v>
      </c>
      <c r="C262" s="176" t="s">
        <v>91</v>
      </c>
      <c r="D262" s="220" t="s">
        <v>111</v>
      </c>
      <c r="E262" s="176" t="s">
        <v>26</v>
      </c>
      <c r="F262" s="176" t="s">
        <v>27</v>
      </c>
      <c r="G262" s="221">
        <v>45157.0</v>
      </c>
      <c r="H262" s="179">
        <f>IFERROR(__xludf.DUMMYFUNCTION("GOOGLEFINANCE(D262,""price"")"),327.92)</f>
        <v>327.92</v>
      </c>
      <c r="I262" s="222">
        <v>215.0</v>
      </c>
      <c r="J262" s="223"/>
      <c r="K262" s="223"/>
      <c r="L262" s="181" t="str">
        <f t="shared" si="18"/>
        <v>Option Closed</v>
      </c>
      <c r="M262" s="212">
        <v>6.0</v>
      </c>
      <c r="N262" s="201">
        <v>0.0</v>
      </c>
      <c r="O262" s="183" t="s">
        <v>98</v>
      </c>
      <c r="P262" s="206"/>
      <c r="Q262" s="184"/>
      <c r="R262" s="185">
        <f t="shared" si="48"/>
        <v>0</v>
      </c>
      <c r="S262" s="186">
        <f t="shared" si="49"/>
        <v>0</v>
      </c>
      <c r="T262" s="187">
        <f t="shared" si="50"/>
        <v>0</v>
      </c>
      <c r="U262" s="188">
        <f t="shared" si="22"/>
        <v>0</v>
      </c>
      <c r="V262" s="189">
        <f t="shared" si="23"/>
        <v>0</v>
      </c>
      <c r="W262" s="190" t="str">
        <f t="shared" si="38"/>
        <v/>
      </c>
      <c r="X262" s="191" t="str">
        <f t="shared" si="51"/>
        <v>#VALUE!</v>
      </c>
      <c r="Y262" s="189" t="str">
        <f t="shared" si="52"/>
        <v>#REF!</v>
      </c>
      <c r="Z262" s="191" t="str">
        <f t="shared" si="8"/>
        <v/>
      </c>
      <c r="AA262" s="191">
        <f t="shared" si="9"/>
        <v>64</v>
      </c>
      <c r="AB262" s="224"/>
      <c r="AC262" s="225"/>
      <c r="AD262" s="226"/>
      <c r="AE262" s="225"/>
      <c r="AF262" s="227"/>
      <c r="AG262" s="227"/>
      <c r="AH262" s="227"/>
      <c r="AI262" s="227"/>
      <c r="AJ262" s="227"/>
      <c r="AK262" s="227"/>
      <c r="AL262" s="228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</row>
    <row r="263" ht="18.0" customHeight="1">
      <c r="A263" s="218"/>
      <c r="B263" s="219">
        <v>45093.0</v>
      </c>
      <c r="C263" s="176" t="s">
        <v>91</v>
      </c>
      <c r="D263" s="220" t="s">
        <v>78</v>
      </c>
      <c r="E263" s="176" t="s">
        <v>26</v>
      </c>
      <c r="F263" s="176" t="s">
        <v>27</v>
      </c>
      <c r="G263" s="221">
        <v>45157.0</v>
      </c>
      <c r="H263" s="179">
        <f>IFERROR(__xludf.DUMMYFUNCTION("GOOGLEFINANCE(D263,""price"")"),720.66)</f>
        <v>720.66</v>
      </c>
      <c r="I263" s="222">
        <v>435.0</v>
      </c>
      <c r="J263" s="223"/>
      <c r="K263" s="223"/>
      <c r="L263" s="181" t="str">
        <f t="shared" si="18"/>
        <v>Option Closed</v>
      </c>
      <c r="M263" s="212">
        <v>8.0</v>
      </c>
      <c r="N263" s="201">
        <v>0.0</v>
      </c>
      <c r="O263" s="183" t="s">
        <v>45</v>
      </c>
      <c r="P263" s="206"/>
      <c r="Q263" s="184"/>
      <c r="R263" s="185">
        <f t="shared" si="48"/>
        <v>0</v>
      </c>
      <c r="S263" s="186">
        <f t="shared" si="49"/>
        <v>0</v>
      </c>
      <c r="T263" s="187">
        <f t="shared" si="50"/>
        <v>0</v>
      </c>
      <c r="U263" s="188">
        <f t="shared" si="22"/>
        <v>0</v>
      </c>
      <c r="V263" s="189">
        <f t="shared" si="23"/>
        <v>0</v>
      </c>
      <c r="W263" s="190" t="str">
        <f t="shared" si="38"/>
        <v/>
      </c>
      <c r="X263" s="191" t="str">
        <f t="shared" si="51"/>
        <v>#VALUE!</v>
      </c>
      <c r="Y263" s="189" t="str">
        <f t="shared" si="52"/>
        <v>#REF!</v>
      </c>
      <c r="Z263" s="191" t="str">
        <f t="shared" si="8"/>
        <v/>
      </c>
      <c r="AA263" s="191">
        <f t="shared" si="9"/>
        <v>64</v>
      </c>
      <c r="AB263" s="224"/>
      <c r="AC263" s="225"/>
      <c r="AD263" s="226"/>
      <c r="AE263" s="225"/>
      <c r="AF263" s="227"/>
      <c r="AG263" s="227"/>
      <c r="AH263" s="227"/>
      <c r="AI263" s="227"/>
      <c r="AJ263" s="227"/>
      <c r="AK263" s="227"/>
      <c r="AL263" s="228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</row>
    <row r="264" ht="18.0" customHeight="1">
      <c r="A264" s="218"/>
      <c r="B264" s="219">
        <v>45093.0</v>
      </c>
      <c r="C264" s="176" t="s">
        <v>91</v>
      </c>
      <c r="D264" s="220" t="s">
        <v>99</v>
      </c>
      <c r="E264" s="176" t="s">
        <v>26</v>
      </c>
      <c r="F264" s="176" t="s">
        <v>27</v>
      </c>
      <c r="G264" s="221">
        <v>45185.0</v>
      </c>
      <c r="H264" s="179">
        <f>IFERROR(__xludf.DUMMYFUNCTION("GOOGLEFINANCE(D264,""price"")"),365.93)</f>
        <v>365.93</v>
      </c>
      <c r="I264" s="222">
        <v>275.0</v>
      </c>
      <c r="J264" s="223"/>
      <c r="K264" s="223"/>
      <c r="L264" s="181" t="str">
        <f t="shared" si="18"/>
        <v>Option Closed</v>
      </c>
      <c r="M264" s="212">
        <v>3.0</v>
      </c>
      <c r="N264" s="201">
        <v>0.0</v>
      </c>
      <c r="O264" s="183" t="s">
        <v>98</v>
      </c>
      <c r="P264" s="206"/>
      <c r="Q264" s="184"/>
      <c r="R264" s="185">
        <f t="shared" si="48"/>
        <v>0</v>
      </c>
      <c r="S264" s="186">
        <f t="shared" si="49"/>
        <v>0</v>
      </c>
      <c r="T264" s="187">
        <f t="shared" si="50"/>
        <v>0</v>
      </c>
      <c r="U264" s="188">
        <f t="shared" si="22"/>
        <v>0</v>
      </c>
      <c r="V264" s="189">
        <f t="shared" si="23"/>
        <v>0</v>
      </c>
      <c r="W264" s="190" t="str">
        <f t="shared" si="38"/>
        <v/>
      </c>
      <c r="X264" s="191" t="str">
        <f t="shared" si="51"/>
        <v>#VALUE!</v>
      </c>
      <c r="Y264" s="189" t="str">
        <f t="shared" si="52"/>
        <v>#REF!</v>
      </c>
      <c r="Z264" s="191" t="str">
        <f t="shared" si="8"/>
        <v/>
      </c>
      <c r="AA264" s="191">
        <f t="shared" si="9"/>
        <v>92</v>
      </c>
      <c r="AB264" s="224"/>
      <c r="AC264" s="225"/>
      <c r="AD264" s="226"/>
      <c r="AE264" s="225"/>
      <c r="AF264" s="227"/>
      <c r="AG264" s="227"/>
      <c r="AH264" s="227"/>
      <c r="AI264" s="227"/>
      <c r="AJ264" s="227"/>
      <c r="AK264" s="227"/>
      <c r="AL264" s="228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</row>
    <row r="265" ht="18.0" customHeight="1">
      <c r="A265" s="218"/>
      <c r="B265" s="219">
        <v>45096.0</v>
      </c>
      <c r="C265" s="176" t="s">
        <v>105</v>
      </c>
      <c r="D265" s="220" t="s">
        <v>76</v>
      </c>
      <c r="E265" s="176" t="s">
        <v>82</v>
      </c>
      <c r="F265" s="176" t="s">
        <v>27</v>
      </c>
      <c r="G265" s="221">
        <v>45128.0</v>
      </c>
      <c r="H265" s="179">
        <f>IFERROR(__xludf.DUMMYFUNCTION("GOOGLEFINANCE(D265,""price"")"),7.53)</f>
        <v>7.53</v>
      </c>
      <c r="I265" s="222">
        <v>42.0</v>
      </c>
      <c r="J265" s="223"/>
      <c r="K265" s="223"/>
      <c r="L265" s="181" t="str">
        <f t="shared" si="18"/>
        <v>Option Closed</v>
      </c>
      <c r="M265" s="212">
        <v>1.0</v>
      </c>
      <c r="N265" s="201">
        <v>1.3</v>
      </c>
      <c r="O265" s="183" t="s">
        <v>86</v>
      </c>
      <c r="P265" s="206"/>
      <c r="Q265" s="184"/>
      <c r="R265" s="185">
        <f t="shared" si="48"/>
        <v>0.13</v>
      </c>
      <c r="S265" s="186">
        <f t="shared" si="49"/>
        <v>130</v>
      </c>
      <c r="T265" s="187">
        <f t="shared" si="50"/>
        <v>0</v>
      </c>
      <c r="U265" s="188">
        <f t="shared" si="22"/>
        <v>130</v>
      </c>
      <c r="V265" s="189">
        <f t="shared" si="23"/>
        <v>0.03095238095</v>
      </c>
      <c r="W265" s="190" t="str">
        <f t="shared" si="38"/>
        <v/>
      </c>
      <c r="X265" s="191" t="str">
        <f t="shared" si="51"/>
        <v>#VALUE!</v>
      </c>
      <c r="Y265" s="189" t="str">
        <f t="shared" si="52"/>
        <v>#REF!</v>
      </c>
      <c r="Z265" s="191" t="str">
        <f t="shared" si="8"/>
        <v/>
      </c>
      <c r="AA265" s="191">
        <f t="shared" si="9"/>
        <v>32</v>
      </c>
      <c r="AB265" s="224"/>
      <c r="AC265" s="225"/>
      <c r="AD265" s="226"/>
      <c r="AE265" s="225"/>
      <c r="AF265" s="227"/>
      <c r="AG265" s="227"/>
      <c r="AH265" s="227"/>
      <c r="AI265" s="227"/>
      <c r="AJ265" s="227"/>
      <c r="AK265" s="227"/>
      <c r="AL265" s="228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</row>
    <row r="266" ht="18.0" customHeight="1">
      <c r="A266" s="218"/>
      <c r="B266" s="219">
        <v>45096.0</v>
      </c>
      <c r="C266" s="176" t="s">
        <v>105</v>
      </c>
      <c r="D266" s="220" t="s">
        <v>100</v>
      </c>
      <c r="E266" s="176" t="s">
        <v>82</v>
      </c>
      <c r="F266" s="176" t="s">
        <v>27</v>
      </c>
      <c r="G266" s="221">
        <v>45128.0</v>
      </c>
      <c r="H266" s="179">
        <f>IFERROR(__xludf.DUMMYFUNCTION("GOOGLEFINANCE(D266,""price"")"),127.08)</f>
        <v>127.08</v>
      </c>
      <c r="I266" s="222">
        <v>54.0</v>
      </c>
      <c r="J266" s="223"/>
      <c r="K266" s="223"/>
      <c r="L266" s="181" t="str">
        <f t="shared" si="18"/>
        <v>Option Closed</v>
      </c>
      <c r="M266" s="212">
        <v>1.0</v>
      </c>
      <c r="N266" s="201">
        <v>1.6</v>
      </c>
      <c r="O266" s="183" t="s">
        <v>86</v>
      </c>
      <c r="P266" s="206"/>
      <c r="Q266" s="184"/>
      <c r="R266" s="185">
        <f t="shared" si="48"/>
        <v>0.16</v>
      </c>
      <c r="S266" s="186">
        <f t="shared" si="49"/>
        <v>160</v>
      </c>
      <c r="T266" s="187">
        <f t="shared" si="50"/>
        <v>0</v>
      </c>
      <c r="U266" s="188">
        <f t="shared" si="22"/>
        <v>160</v>
      </c>
      <c r="V266" s="189">
        <f t="shared" si="23"/>
        <v>0.02962962963</v>
      </c>
      <c r="W266" s="190" t="str">
        <f t="shared" si="38"/>
        <v/>
      </c>
      <c r="X266" s="191" t="str">
        <f t="shared" si="51"/>
        <v>#VALUE!</v>
      </c>
      <c r="Y266" s="189" t="str">
        <f t="shared" si="52"/>
        <v>#REF!</v>
      </c>
      <c r="Z266" s="191" t="str">
        <f t="shared" si="8"/>
        <v/>
      </c>
      <c r="AA266" s="191">
        <f t="shared" si="9"/>
        <v>32</v>
      </c>
      <c r="AB266" s="224"/>
      <c r="AC266" s="225"/>
      <c r="AD266" s="226"/>
      <c r="AE266" s="225"/>
      <c r="AF266" s="227"/>
      <c r="AG266" s="227"/>
      <c r="AH266" s="227"/>
      <c r="AI266" s="227"/>
      <c r="AJ266" s="227"/>
      <c r="AK266" s="227"/>
      <c r="AL266" s="228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</row>
    <row r="267" ht="18.0" customHeight="1">
      <c r="A267" s="218"/>
      <c r="B267" s="219">
        <v>45096.0</v>
      </c>
      <c r="C267" s="176" t="s">
        <v>91</v>
      </c>
      <c r="D267" s="220" t="s">
        <v>108</v>
      </c>
      <c r="E267" s="176" t="s">
        <v>26</v>
      </c>
      <c r="F267" s="176" t="s">
        <v>27</v>
      </c>
      <c r="G267" s="221">
        <v>45128.0</v>
      </c>
      <c r="H267" s="179">
        <f>IFERROR(__xludf.DUMMYFUNCTION("GOOGLEFINANCE(D267,""price"")"),4.96)</f>
        <v>4.96</v>
      </c>
      <c r="I267" s="222">
        <v>37.0</v>
      </c>
      <c r="J267" s="223"/>
      <c r="K267" s="223"/>
      <c r="L267" s="181" t="str">
        <f t="shared" si="18"/>
        <v>Option Closed</v>
      </c>
      <c r="M267" s="212">
        <v>1.0</v>
      </c>
      <c r="N267" s="201">
        <v>1.6</v>
      </c>
      <c r="O267" s="183" t="s">
        <v>86</v>
      </c>
      <c r="P267" s="206"/>
      <c r="Q267" s="184"/>
      <c r="R267" s="185">
        <f t="shared" si="48"/>
        <v>0.16</v>
      </c>
      <c r="S267" s="186">
        <f t="shared" si="49"/>
        <v>160</v>
      </c>
      <c r="T267" s="187">
        <f t="shared" si="50"/>
        <v>0</v>
      </c>
      <c r="U267" s="188">
        <f t="shared" si="22"/>
        <v>160</v>
      </c>
      <c r="V267" s="189">
        <f t="shared" si="23"/>
        <v>0.04324324324</v>
      </c>
      <c r="W267" s="190" t="str">
        <f t="shared" si="38"/>
        <v/>
      </c>
      <c r="X267" s="191" t="str">
        <f t="shared" si="51"/>
        <v>#VALUE!</v>
      </c>
      <c r="Y267" s="189" t="str">
        <f t="shared" si="52"/>
        <v>#REF!</v>
      </c>
      <c r="Z267" s="191" t="str">
        <f t="shared" si="8"/>
        <v/>
      </c>
      <c r="AA267" s="191">
        <f t="shared" si="9"/>
        <v>32</v>
      </c>
      <c r="AB267" s="224"/>
      <c r="AC267" s="225"/>
      <c r="AD267" s="226"/>
      <c r="AE267" s="225"/>
      <c r="AF267" s="227"/>
      <c r="AG267" s="227"/>
      <c r="AH267" s="227"/>
      <c r="AI267" s="227"/>
      <c r="AJ267" s="227"/>
      <c r="AK267" s="227"/>
      <c r="AL267" s="228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</row>
    <row r="268" ht="18.0" customHeight="1">
      <c r="A268" s="229"/>
      <c r="B268" s="219">
        <v>45135.0</v>
      </c>
      <c r="C268" s="176" t="s">
        <v>91</v>
      </c>
      <c r="D268" s="220" t="s">
        <v>78</v>
      </c>
      <c r="E268" s="176" t="s">
        <v>26</v>
      </c>
      <c r="F268" s="176" t="s">
        <v>27</v>
      </c>
      <c r="G268" s="221">
        <v>45184.0</v>
      </c>
      <c r="H268" s="179">
        <f>IFERROR(__xludf.DUMMYFUNCTION("GOOGLEFINANCE(D268,""price"")"),720.66)</f>
        <v>720.66</v>
      </c>
      <c r="I268" s="222">
        <v>470.0</v>
      </c>
      <c r="J268" s="223"/>
      <c r="K268" s="223"/>
      <c r="L268" s="181" t="str">
        <f t="shared" si="18"/>
        <v>Option Closed</v>
      </c>
      <c r="M268" s="212">
        <v>1.0</v>
      </c>
      <c r="N268" s="201">
        <v>6.4</v>
      </c>
      <c r="O268" s="183" t="s">
        <v>86</v>
      </c>
      <c r="P268" s="206"/>
      <c r="Q268" s="184"/>
      <c r="R268" s="185">
        <f t="shared" si="48"/>
        <v>0.64</v>
      </c>
      <c r="S268" s="186">
        <f t="shared" si="49"/>
        <v>640</v>
      </c>
      <c r="T268" s="187">
        <f t="shared" si="50"/>
        <v>0</v>
      </c>
      <c r="U268" s="188">
        <f t="shared" si="22"/>
        <v>640</v>
      </c>
      <c r="V268" s="189">
        <f t="shared" si="23"/>
        <v>0.01361702128</v>
      </c>
      <c r="W268" s="190" t="str">
        <f t="shared" si="38"/>
        <v/>
      </c>
      <c r="X268" s="191" t="str">
        <f t="shared" si="51"/>
        <v>#VALUE!</v>
      </c>
      <c r="Y268" s="189" t="str">
        <f t="shared" si="52"/>
        <v>#REF!</v>
      </c>
      <c r="Z268" s="191" t="str">
        <f t="shared" si="8"/>
        <v/>
      </c>
      <c r="AA268" s="191">
        <f t="shared" si="9"/>
        <v>49</v>
      </c>
      <c r="AB268" s="230"/>
      <c r="AC268" s="231"/>
      <c r="AD268" s="232"/>
      <c r="AE268" s="231"/>
      <c r="AF268" s="233"/>
      <c r="AG268" s="233"/>
      <c r="AH268" s="233"/>
      <c r="AI268" s="233"/>
      <c r="AJ268" s="233"/>
      <c r="AK268" s="233"/>
      <c r="AL268" s="234"/>
      <c r="AM268" s="235"/>
      <c r="AN268" s="235"/>
      <c r="AO268" s="235"/>
      <c r="AP268" s="235"/>
      <c r="AQ268" s="235"/>
      <c r="AR268" s="235"/>
      <c r="AS268" s="235"/>
      <c r="AT268" s="235"/>
      <c r="AU268" s="235"/>
      <c r="AV268" s="235"/>
      <c r="AW268" s="235"/>
      <c r="AX268" s="235"/>
      <c r="AY268" s="235"/>
      <c r="AZ268" s="235"/>
      <c r="BA268" s="235"/>
    </row>
    <row r="269" ht="18.0" customHeight="1">
      <c r="A269" s="218"/>
      <c r="B269" s="219">
        <v>45156.0</v>
      </c>
      <c r="C269" s="176" t="s">
        <v>91</v>
      </c>
      <c r="D269" s="220" t="s">
        <v>78</v>
      </c>
      <c r="E269" s="176" t="s">
        <v>26</v>
      </c>
      <c r="F269" s="176" t="s">
        <v>27</v>
      </c>
      <c r="G269" s="221">
        <v>45184.0</v>
      </c>
      <c r="H269" s="179">
        <f>IFERROR(__xludf.DUMMYFUNCTION("GOOGLEFINANCE(D269,""price"")"),720.66)</f>
        <v>720.66</v>
      </c>
      <c r="I269" s="222">
        <v>445.0</v>
      </c>
      <c r="J269" s="223"/>
      <c r="K269" s="223"/>
      <c r="L269" s="181" t="str">
        <f t="shared" si="18"/>
        <v>Option Closed</v>
      </c>
      <c r="M269" s="212">
        <v>8.0</v>
      </c>
      <c r="N269" s="201">
        <v>1.55</v>
      </c>
      <c r="O269" s="183" t="s">
        <v>86</v>
      </c>
      <c r="P269" s="206"/>
      <c r="Q269" s="184"/>
      <c r="R269" s="185">
        <f t="shared" si="48"/>
        <v>0.155</v>
      </c>
      <c r="S269" s="186">
        <f t="shared" si="49"/>
        <v>1240</v>
      </c>
      <c r="T269" s="187">
        <f t="shared" si="50"/>
        <v>0</v>
      </c>
      <c r="U269" s="188">
        <f t="shared" si="22"/>
        <v>1240</v>
      </c>
      <c r="V269" s="189">
        <f t="shared" si="23"/>
        <v>0.003483146067</v>
      </c>
      <c r="W269" s="190" t="str">
        <f t="shared" si="38"/>
        <v/>
      </c>
      <c r="X269" s="191" t="str">
        <f t="shared" si="51"/>
        <v>#VALUE!</v>
      </c>
      <c r="Y269" s="189" t="str">
        <f t="shared" si="52"/>
        <v>#REF!</v>
      </c>
      <c r="Z269" s="191" t="str">
        <f t="shared" si="8"/>
        <v/>
      </c>
      <c r="AA269" s="191">
        <f t="shared" si="9"/>
        <v>28</v>
      </c>
      <c r="AB269" s="224"/>
      <c r="AC269" s="225"/>
      <c r="AD269" s="226"/>
      <c r="AE269" s="225"/>
      <c r="AF269" s="227"/>
      <c r="AG269" s="227"/>
      <c r="AH269" s="227"/>
      <c r="AI269" s="227"/>
      <c r="AJ269" s="227"/>
      <c r="AK269" s="227"/>
      <c r="AL269" s="228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</row>
    <row r="270">
      <c r="A270" s="236"/>
      <c r="B270" s="237">
        <v>45154.0</v>
      </c>
      <c r="C270" s="238" t="s">
        <v>91</v>
      </c>
      <c r="D270" s="238" t="s">
        <v>112</v>
      </c>
      <c r="E270" s="238" t="s">
        <v>26</v>
      </c>
      <c r="F270" s="238" t="s">
        <v>27</v>
      </c>
      <c r="G270" s="239">
        <v>45219.0</v>
      </c>
      <c r="H270" s="240">
        <f>IFERROR(__xludf.DUMMYFUNCTION("GOOGLEFINANCE(D270,""price"")"),395.01)</f>
        <v>395.01</v>
      </c>
      <c r="I270" s="241">
        <v>215.0</v>
      </c>
      <c r="J270" s="242"/>
      <c r="K270" s="242"/>
      <c r="L270" s="243" t="str">
        <f t="shared" si="18"/>
        <v>Option Closed</v>
      </c>
      <c r="M270" s="244">
        <v>1.0</v>
      </c>
      <c r="N270" s="245">
        <v>0.0</v>
      </c>
      <c r="O270" s="246" t="s">
        <v>86</v>
      </c>
      <c r="P270" s="247"/>
      <c r="Q270" s="248"/>
      <c r="R270" s="249">
        <f>if(N270="","",N270*(1-$T$2))</f>
        <v>0</v>
      </c>
      <c r="S270" s="250">
        <f>IF(B270="","",IF(AND(E270="Stock",F270="Buy"),(100*((M270*N270)*-1)),IF(AND(E270="Call",F270="Buy"),(100*((M270*N270)*-1)),IF(AND(E270="PUT",F270="Buy"),(100*((M270*N270)*-1)),100*(M270*N270)))))</f>
        <v>0</v>
      </c>
      <c r="T270" s="251">
        <f>IF(B270="","",IF(AND(E270="Stock",F270="Buy"),(100*((M270*Q270)*1)),IF(AND(E270="Call",F270="Buy"),(100*((M270*Q270)*1)),IF(AND(E270="PUT",F270="Buy"),(100*((M270*Q270)*1)),(100*(M270*Q270))*-1))))</f>
        <v>0</v>
      </c>
      <c r="U270" s="252">
        <f t="shared" si="22"/>
        <v>0</v>
      </c>
      <c r="V270" s="253">
        <f t="shared" si="23"/>
        <v>0</v>
      </c>
      <c r="W270" s="254" t="str">
        <f t="shared" si="38"/>
        <v/>
      </c>
      <c r="X270" s="255" t="str">
        <f>if(E270-today()&lt;0,"",E270-today())</f>
        <v>#VALUE!</v>
      </c>
      <c r="Y270" s="253" t="str">
        <f>IF(AND(#REF!="",N270=""),"",IF(N270="",TODAY()-#REF!,N270-#REF!))</f>
        <v>#REF!</v>
      </c>
      <c r="Z270" s="255" t="str">
        <f t="shared" si="8"/>
        <v/>
      </c>
      <c r="AA270" s="191">
        <f t="shared" si="9"/>
        <v>65</v>
      </c>
      <c r="AB270" s="256"/>
      <c r="AC270" s="247"/>
      <c r="AD270" s="257"/>
      <c r="AE270" s="247"/>
      <c r="AF270" s="248"/>
      <c r="AG270" s="248"/>
      <c r="AH270" s="248"/>
      <c r="AI270" s="248"/>
      <c r="AJ270" s="248"/>
      <c r="AK270" s="248"/>
      <c r="AL270" s="258"/>
      <c r="AM270" s="259"/>
      <c r="AN270" s="259"/>
      <c r="AO270" s="259"/>
      <c r="AP270" s="259"/>
      <c r="AQ270" s="259"/>
      <c r="AR270" s="259"/>
      <c r="AS270" s="259"/>
      <c r="AT270" s="259"/>
      <c r="AU270" s="259"/>
      <c r="AV270" s="259"/>
      <c r="AW270" s="259"/>
      <c r="AX270" s="259"/>
      <c r="AY270" s="259"/>
      <c r="AZ270" s="259"/>
      <c r="BA270" s="259"/>
    </row>
    <row r="271" ht="18.0" customHeight="1">
      <c r="A271" s="229"/>
      <c r="B271" s="219">
        <v>45154.0</v>
      </c>
      <c r="C271" s="176" t="s">
        <v>91</v>
      </c>
      <c r="D271" s="220" t="s">
        <v>111</v>
      </c>
      <c r="E271" s="176" t="s">
        <v>26</v>
      </c>
      <c r="F271" s="176" t="s">
        <v>27</v>
      </c>
      <c r="G271" s="221">
        <v>45219.0</v>
      </c>
      <c r="H271" s="179">
        <f>IFERROR(__xludf.DUMMYFUNCTION("GOOGLEFINANCE(D271,""price"")"),327.92)</f>
        <v>327.92</v>
      </c>
      <c r="I271" s="222">
        <v>225.0</v>
      </c>
      <c r="J271" s="223"/>
      <c r="K271" s="223"/>
      <c r="L271" s="181" t="str">
        <f t="shared" si="18"/>
        <v>Option Closed</v>
      </c>
      <c r="M271" s="212">
        <v>6.0</v>
      </c>
      <c r="N271" s="201">
        <v>0.0</v>
      </c>
      <c r="O271" s="183" t="s">
        <v>86</v>
      </c>
      <c r="P271" s="206"/>
      <c r="Q271" s="184"/>
      <c r="R271" s="185">
        <f t="shared" ref="R271:R297" si="53">if(N271="","",N271*(1-$T$2))</f>
        <v>0</v>
      </c>
      <c r="S271" s="186">
        <f t="shared" ref="S271:S297" si="54">IF(B271="","",IF(AND(E271="Stock",F271="Buy"),(100*((M271*N271)*-1)),IF(AND(E271="Call",F271="Buy"),(100*((M271*N271)*-1)),IF(AND(E271="PUT",F271="Buy"),(100*((M271*N271)*-1)),100*(M271*N271)))))</f>
        <v>0</v>
      </c>
      <c r="T271" s="187">
        <f t="shared" ref="T271:T297" si="55">IF(B271="","",IF(AND(E271="Stock",F271="Buy"),(100*((M271*Q271)*1)),IF(AND(E271="Call",F271="Buy"),(100*((M271*Q271)*1)),IF(AND(E271="PUT",F271="Buy"),(100*((M271*Q271)*1)),(100*(M271*Q271))*-1))))</f>
        <v>0</v>
      </c>
      <c r="U271" s="188">
        <f t="shared" si="22"/>
        <v>0</v>
      </c>
      <c r="V271" s="189">
        <f t="shared" si="23"/>
        <v>0</v>
      </c>
      <c r="W271" s="190" t="str">
        <f t="shared" si="38"/>
        <v/>
      </c>
      <c r="X271" s="191" t="str">
        <f t="shared" ref="X271:X297" si="56">if(E271-today()&lt;0,"",E271-today())</f>
        <v>#VALUE!</v>
      </c>
      <c r="Y271" s="189" t="str">
        <f t="shared" ref="Y271:Y297" si="57">IF(AND(#REF!="",N271=""),"",IF(N271="",TODAY()-#REF!,N271-#REF!))</f>
        <v>#REF!</v>
      </c>
      <c r="Z271" s="191" t="str">
        <f t="shared" si="8"/>
        <v/>
      </c>
      <c r="AA271" s="191">
        <f t="shared" si="9"/>
        <v>65</v>
      </c>
      <c r="AB271" s="230"/>
      <c r="AC271" s="231"/>
      <c r="AD271" s="232"/>
      <c r="AE271" s="231"/>
      <c r="AF271" s="233"/>
      <c r="AG271" s="233"/>
      <c r="AH271" s="233"/>
      <c r="AI271" s="233"/>
      <c r="AJ271" s="233"/>
      <c r="AK271" s="233"/>
      <c r="AL271" s="234"/>
      <c r="AM271" s="235"/>
      <c r="AN271" s="235"/>
      <c r="AO271" s="235"/>
      <c r="AP271" s="235"/>
      <c r="AQ271" s="235"/>
      <c r="AR271" s="235"/>
      <c r="AS271" s="235"/>
      <c r="AT271" s="235"/>
      <c r="AU271" s="235"/>
      <c r="AV271" s="235"/>
      <c r="AW271" s="235"/>
      <c r="AX271" s="235"/>
      <c r="AY271" s="235"/>
      <c r="AZ271" s="235"/>
      <c r="BA271" s="235"/>
    </row>
    <row r="272" ht="18.0" customHeight="1">
      <c r="A272" s="229"/>
      <c r="B272" s="260">
        <v>45154.0</v>
      </c>
      <c r="C272" s="176" t="s">
        <v>91</v>
      </c>
      <c r="D272" s="220" t="s">
        <v>111</v>
      </c>
      <c r="E272" s="176" t="s">
        <v>26</v>
      </c>
      <c r="F272" s="176" t="s">
        <v>27</v>
      </c>
      <c r="G272" s="221">
        <v>45184.0</v>
      </c>
      <c r="H272" s="179">
        <f>IFERROR(__xludf.DUMMYFUNCTION("GOOGLEFINANCE(D272,""price"")"),327.92)</f>
        <v>327.92</v>
      </c>
      <c r="I272" s="222">
        <v>225.0</v>
      </c>
      <c r="J272" s="223"/>
      <c r="K272" s="223"/>
      <c r="L272" s="181" t="str">
        <f t="shared" si="18"/>
        <v>Option Closed</v>
      </c>
      <c r="M272" s="212">
        <v>2.0</v>
      </c>
      <c r="N272" s="201">
        <v>1.5</v>
      </c>
      <c r="O272" s="183" t="s">
        <v>86</v>
      </c>
      <c r="P272" s="206"/>
      <c r="Q272" s="184"/>
      <c r="R272" s="185">
        <f t="shared" si="53"/>
        <v>0.15</v>
      </c>
      <c r="S272" s="186">
        <f t="shared" si="54"/>
        <v>300</v>
      </c>
      <c r="T272" s="187">
        <f t="shared" si="55"/>
        <v>0</v>
      </c>
      <c r="U272" s="188">
        <f t="shared" si="22"/>
        <v>300</v>
      </c>
      <c r="V272" s="189">
        <f t="shared" si="23"/>
        <v>0.006666666667</v>
      </c>
      <c r="W272" s="190" t="str">
        <f t="shared" si="38"/>
        <v/>
      </c>
      <c r="X272" s="191" t="str">
        <f t="shared" si="56"/>
        <v>#VALUE!</v>
      </c>
      <c r="Y272" s="189" t="str">
        <f t="shared" si="57"/>
        <v>#REF!</v>
      </c>
      <c r="Z272" s="191" t="str">
        <f t="shared" si="8"/>
        <v/>
      </c>
      <c r="AA272" s="191">
        <f t="shared" si="9"/>
        <v>30</v>
      </c>
      <c r="AB272" s="230"/>
      <c r="AC272" s="231"/>
      <c r="AD272" s="232"/>
      <c r="AE272" s="231"/>
      <c r="AF272" s="233"/>
      <c r="AG272" s="233"/>
      <c r="AH272" s="233"/>
      <c r="AI272" s="233"/>
      <c r="AJ272" s="233"/>
      <c r="AK272" s="233"/>
      <c r="AL272" s="234"/>
      <c r="AM272" s="235"/>
      <c r="AN272" s="235"/>
      <c r="AO272" s="235"/>
      <c r="AP272" s="235"/>
      <c r="AQ272" s="235"/>
      <c r="AR272" s="235"/>
      <c r="AS272" s="235"/>
      <c r="AT272" s="235"/>
      <c r="AU272" s="235"/>
      <c r="AV272" s="235"/>
      <c r="AW272" s="235"/>
      <c r="AX272" s="235"/>
      <c r="AY272" s="235"/>
      <c r="AZ272" s="235"/>
      <c r="BA272" s="235"/>
    </row>
    <row r="273" ht="18.0" customHeight="1">
      <c r="A273" s="236"/>
      <c r="B273" s="237">
        <v>45184.0</v>
      </c>
      <c r="C273" s="238" t="s">
        <v>91</v>
      </c>
      <c r="D273" s="238" t="s">
        <v>99</v>
      </c>
      <c r="E273" s="238" t="s">
        <v>26</v>
      </c>
      <c r="F273" s="238" t="s">
        <v>27</v>
      </c>
      <c r="G273" s="239">
        <v>45275.0</v>
      </c>
      <c r="H273" s="240">
        <f>IFERROR(__xludf.DUMMYFUNCTION("GOOGLEFINANCE(D273,""price"")"),365.93)</f>
        <v>365.93</v>
      </c>
      <c r="I273" s="241">
        <v>285.0</v>
      </c>
      <c r="J273" s="242"/>
      <c r="K273" s="242"/>
      <c r="L273" s="261" t="str">
        <f t="shared" si="18"/>
        <v>Option Closed</v>
      </c>
      <c r="M273" s="244">
        <v>3.0</v>
      </c>
      <c r="N273" s="245">
        <v>0.0</v>
      </c>
      <c r="O273" s="262" t="s">
        <v>98</v>
      </c>
      <c r="P273" s="247"/>
      <c r="Q273" s="248"/>
      <c r="R273" s="185">
        <f t="shared" si="53"/>
        <v>0</v>
      </c>
      <c r="S273" s="186">
        <f t="shared" si="54"/>
        <v>0</v>
      </c>
      <c r="T273" s="187">
        <f t="shared" si="55"/>
        <v>0</v>
      </c>
      <c r="U273" s="188">
        <f t="shared" si="22"/>
        <v>0</v>
      </c>
      <c r="V273" s="189">
        <f t="shared" si="23"/>
        <v>0</v>
      </c>
      <c r="W273" s="190" t="str">
        <f t="shared" si="38"/>
        <v/>
      </c>
      <c r="X273" s="191" t="str">
        <f t="shared" si="56"/>
        <v>#VALUE!</v>
      </c>
      <c r="Y273" s="189" t="str">
        <f t="shared" si="57"/>
        <v>#REF!</v>
      </c>
      <c r="Z273" s="191" t="str">
        <f t="shared" si="8"/>
        <v/>
      </c>
      <c r="AA273" s="191">
        <f t="shared" si="9"/>
        <v>91</v>
      </c>
      <c r="AB273" s="255" t="str">
        <f>if(E273-today()&lt;0,"",E273-today())</f>
        <v>#VALUE!</v>
      </c>
      <c r="AC273" s="253" t="str">
        <f>IF(AND(#REF!="",N273=""),"",IF(N273="",TODAY()-#REF!,N273-#REF!))</f>
        <v>#REF!</v>
      </c>
      <c r="AD273" s="255" t="str">
        <f>if(G273-today()&lt;0,"",G273-today())</f>
        <v/>
      </c>
      <c r="AE273" s="255">
        <f>IF(AND(B273="",P273=""),"",IF(P273="",TODAY()-B273,P273-B273))</f>
        <v>909</v>
      </c>
      <c r="AF273" s="248"/>
      <c r="AG273" s="248"/>
      <c r="AH273" s="248"/>
      <c r="AI273" s="248"/>
      <c r="AJ273" s="248"/>
      <c r="AK273" s="248"/>
      <c r="AL273" s="258"/>
      <c r="AM273" s="259"/>
      <c r="AN273" s="259"/>
      <c r="AO273" s="259"/>
      <c r="AP273" s="259"/>
      <c r="AQ273" s="259"/>
      <c r="AR273" s="259"/>
      <c r="AS273" s="259"/>
      <c r="AT273" s="259"/>
      <c r="AU273" s="259"/>
      <c r="AV273" s="259"/>
      <c r="AW273" s="259"/>
      <c r="AX273" s="259"/>
      <c r="AY273" s="259"/>
      <c r="AZ273" s="259"/>
      <c r="BA273" s="259"/>
    </row>
    <row r="274" ht="18.0" customHeight="1">
      <c r="A274" s="218"/>
      <c r="B274" s="219">
        <v>45187.0</v>
      </c>
      <c r="C274" s="176" t="s">
        <v>91</v>
      </c>
      <c r="D274" s="220" t="s">
        <v>78</v>
      </c>
      <c r="E274" s="176" t="s">
        <v>26</v>
      </c>
      <c r="F274" s="176" t="s">
        <v>27</v>
      </c>
      <c r="G274" s="221">
        <v>45219.0</v>
      </c>
      <c r="H274" s="179">
        <f>IFERROR(__xludf.DUMMYFUNCTION("GOOGLEFINANCE(D274,""price"")"),720.66)</f>
        <v>720.66</v>
      </c>
      <c r="I274" s="222">
        <v>450.0</v>
      </c>
      <c r="J274" s="223"/>
      <c r="K274" s="223"/>
      <c r="L274" s="181" t="str">
        <f t="shared" si="18"/>
        <v>Option Closed</v>
      </c>
      <c r="M274" s="212">
        <v>8.0</v>
      </c>
      <c r="N274" s="201">
        <v>1.7</v>
      </c>
      <c r="O274" s="183" t="s">
        <v>86</v>
      </c>
      <c r="P274" s="206"/>
      <c r="Q274" s="184"/>
      <c r="R274" s="185">
        <f t="shared" si="53"/>
        <v>0.17</v>
      </c>
      <c r="S274" s="186">
        <f t="shared" si="54"/>
        <v>1360</v>
      </c>
      <c r="T274" s="187">
        <f t="shared" si="55"/>
        <v>0</v>
      </c>
      <c r="U274" s="188">
        <f t="shared" si="22"/>
        <v>1360</v>
      </c>
      <c r="V274" s="189">
        <f t="shared" si="23"/>
        <v>0.003777777778</v>
      </c>
      <c r="W274" s="190" t="str">
        <f t="shared" si="38"/>
        <v/>
      </c>
      <c r="X274" s="191" t="str">
        <f t="shared" si="56"/>
        <v>#VALUE!</v>
      </c>
      <c r="Y274" s="189" t="str">
        <f t="shared" si="57"/>
        <v>#REF!</v>
      </c>
      <c r="Z274" s="191" t="str">
        <f t="shared" si="8"/>
        <v/>
      </c>
      <c r="AA274" s="191">
        <f t="shared" si="9"/>
        <v>32</v>
      </c>
      <c r="AB274" s="224"/>
      <c r="AC274" s="225"/>
      <c r="AD274" s="226"/>
      <c r="AE274" s="225"/>
      <c r="AF274" s="227"/>
      <c r="AG274" s="227"/>
      <c r="AH274" s="227"/>
      <c r="AI274" s="227"/>
      <c r="AJ274" s="227"/>
      <c r="AK274" s="227"/>
      <c r="AL274" s="228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</row>
    <row r="275" ht="18.0" customHeight="1">
      <c r="A275" s="218"/>
      <c r="B275" s="219">
        <v>45184.0</v>
      </c>
      <c r="C275" s="176" t="s">
        <v>91</v>
      </c>
      <c r="D275" s="220" t="s">
        <v>88</v>
      </c>
      <c r="E275" s="176" t="s">
        <v>26</v>
      </c>
      <c r="F275" s="176" t="s">
        <v>27</v>
      </c>
      <c r="G275" s="221">
        <v>45275.0</v>
      </c>
      <c r="H275" s="179">
        <f>IFERROR(__xludf.DUMMYFUNCTION("GOOGLEFINANCE(D275,""price"")"),46.83)</f>
        <v>46.83</v>
      </c>
      <c r="I275" s="222">
        <v>37.0</v>
      </c>
      <c r="J275" s="223"/>
      <c r="K275" s="223"/>
      <c r="L275" s="181" t="str">
        <f t="shared" si="18"/>
        <v>Option Closed</v>
      </c>
      <c r="M275" s="212">
        <v>6.0</v>
      </c>
      <c r="N275" s="201">
        <v>0.0</v>
      </c>
      <c r="O275" s="183" t="s">
        <v>45</v>
      </c>
      <c r="P275" s="206"/>
      <c r="Q275" s="184"/>
      <c r="R275" s="185">
        <f t="shared" si="53"/>
        <v>0</v>
      </c>
      <c r="S275" s="186">
        <f t="shared" si="54"/>
        <v>0</v>
      </c>
      <c r="T275" s="187">
        <f t="shared" si="55"/>
        <v>0</v>
      </c>
      <c r="U275" s="188">
        <f t="shared" si="22"/>
        <v>0</v>
      </c>
      <c r="V275" s="189">
        <f t="shared" si="23"/>
        <v>0</v>
      </c>
      <c r="W275" s="190" t="str">
        <f t="shared" si="38"/>
        <v/>
      </c>
      <c r="X275" s="191" t="str">
        <f t="shared" si="56"/>
        <v>#VALUE!</v>
      </c>
      <c r="Y275" s="189" t="str">
        <f t="shared" si="57"/>
        <v>#REF!</v>
      </c>
      <c r="Z275" s="191" t="str">
        <f t="shared" si="8"/>
        <v/>
      </c>
      <c r="AA275" s="191">
        <f t="shared" si="9"/>
        <v>91</v>
      </c>
      <c r="AB275" s="224"/>
      <c r="AC275" s="225"/>
      <c r="AD275" s="226"/>
      <c r="AE275" s="225"/>
      <c r="AF275" s="227"/>
      <c r="AG275" s="227"/>
      <c r="AH275" s="227"/>
      <c r="AI275" s="227"/>
      <c r="AJ275" s="227"/>
      <c r="AK275" s="227"/>
      <c r="AL275" s="228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</row>
    <row r="276" ht="18.0" customHeight="1">
      <c r="A276" s="218"/>
      <c r="B276" s="219">
        <v>45187.0</v>
      </c>
      <c r="C276" s="176" t="s">
        <v>91</v>
      </c>
      <c r="D276" s="220" t="s">
        <v>78</v>
      </c>
      <c r="E276" s="176" t="s">
        <v>26</v>
      </c>
      <c r="F276" s="176" t="s">
        <v>27</v>
      </c>
      <c r="G276" s="221">
        <v>45247.0</v>
      </c>
      <c r="H276" s="179">
        <f>IFERROR(__xludf.DUMMYFUNCTION("GOOGLEFINANCE(D276,""price"")"),720.66)</f>
        <v>720.66</v>
      </c>
      <c r="I276" s="222">
        <v>450.0</v>
      </c>
      <c r="J276" s="223"/>
      <c r="K276" s="223"/>
      <c r="L276" s="181" t="str">
        <f t="shared" si="18"/>
        <v>Option Closed</v>
      </c>
      <c r="M276" s="212"/>
      <c r="N276" s="201">
        <v>5.6</v>
      </c>
      <c r="O276" s="183" t="s">
        <v>86</v>
      </c>
      <c r="P276" s="206"/>
      <c r="Q276" s="184"/>
      <c r="R276" s="185">
        <f t="shared" si="53"/>
        <v>0.56</v>
      </c>
      <c r="S276" s="186">
        <f t="shared" si="54"/>
        <v>0</v>
      </c>
      <c r="T276" s="187">
        <f t="shared" si="55"/>
        <v>0</v>
      </c>
      <c r="U276" s="188">
        <f t="shared" si="22"/>
        <v>0</v>
      </c>
      <c r="V276" s="189">
        <f t="shared" si="23"/>
        <v>0.01244444444</v>
      </c>
      <c r="W276" s="190" t="str">
        <f t="shared" si="38"/>
        <v/>
      </c>
      <c r="X276" s="191" t="str">
        <f t="shared" si="56"/>
        <v>#VALUE!</v>
      </c>
      <c r="Y276" s="189" t="str">
        <f t="shared" si="57"/>
        <v>#REF!</v>
      </c>
      <c r="Z276" s="191" t="str">
        <f t="shared" si="8"/>
        <v/>
      </c>
      <c r="AA276" s="191">
        <f t="shared" si="9"/>
        <v>60</v>
      </c>
      <c r="AB276" s="224"/>
      <c r="AC276" s="225"/>
      <c r="AD276" s="226"/>
      <c r="AE276" s="225"/>
      <c r="AF276" s="227"/>
      <c r="AG276" s="227"/>
      <c r="AH276" s="227"/>
      <c r="AI276" s="227"/>
      <c r="AJ276" s="227"/>
      <c r="AK276" s="227"/>
      <c r="AL276" s="228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</row>
    <row r="277" ht="18.0" customHeight="1">
      <c r="A277" s="229"/>
      <c r="B277" s="219">
        <v>45190.0</v>
      </c>
      <c r="C277" s="176" t="s">
        <v>105</v>
      </c>
      <c r="D277" s="220" t="s">
        <v>111</v>
      </c>
      <c r="E277" s="176" t="s">
        <v>82</v>
      </c>
      <c r="F277" s="176" t="s">
        <v>27</v>
      </c>
      <c r="G277" s="221">
        <v>45219.0</v>
      </c>
      <c r="H277" s="179">
        <f>IFERROR(__xludf.DUMMYFUNCTION("GOOGLEFINANCE(D277,""price"")"),327.92)</f>
        <v>327.92</v>
      </c>
      <c r="I277" s="222">
        <v>215.0</v>
      </c>
      <c r="J277" s="223"/>
      <c r="K277" s="223"/>
      <c r="L277" s="181" t="str">
        <f t="shared" si="18"/>
        <v>Option Closed</v>
      </c>
      <c r="M277" s="212">
        <v>1.0</v>
      </c>
      <c r="N277" s="201">
        <v>2.5</v>
      </c>
      <c r="O277" s="183" t="s">
        <v>86</v>
      </c>
      <c r="P277" s="206"/>
      <c r="Q277" s="184"/>
      <c r="R277" s="185">
        <f t="shared" si="53"/>
        <v>0.25</v>
      </c>
      <c r="S277" s="186">
        <f t="shared" si="54"/>
        <v>250</v>
      </c>
      <c r="T277" s="187">
        <f t="shared" si="55"/>
        <v>0</v>
      </c>
      <c r="U277" s="188">
        <f t="shared" si="22"/>
        <v>250</v>
      </c>
      <c r="V277" s="189">
        <f t="shared" si="23"/>
        <v>0.01162790698</v>
      </c>
      <c r="W277" s="190" t="str">
        <f t="shared" si="38"/>
        <v/>
      </c>
      <c r="X277" s="191" t="str">
        <f t="shared" si="56"/>
        <v>#VALUE!</v>
      </c>
      <c r="Y277" s="189" t="str">
        <f t="shared" si="57"/>
        <v>#REF!</v>
      </c>
      <c r="Z277" s="191" t="str">
        <f t="shared" si="8"/>
        <v/>
      </c>
      <c r="AA277" s="191">
        <f t="shared" si="9"/>
        <v>29</v>
      </c>
      <c r="AB277" s="191" t="str">
        <f t="shared" ref="AB277:AB297" si="58">if(E277-today()&lt;0,"",E277-today())</f>
        <v>#VALUE!</v>
      </c>
      <c r="AC277" s="189" t="str">
        <f t="shared" ref="AC277:AC297" si="59">IF(AND(#REF!="",N277=""),"",IF(N277="",TODAY()-#REF!,N277-#REF!))</f>
        <v>#REF!</v>
      </c>
      <c r="AD277" s="191" t="str">
        <f t="shared" ref="AD277:AD328" si="60">if(G277-today()&lt;0,"",G277-today())</f>
        <v/>
      </c>
      <c r="AE277" s="191">
        <f t="shared" ref="AE277:AE328" si="61">IF(AND(B277="",P277=""),"",IF(P277="",TODAY()-B277,P277-B277))</f>
        <v>903</v>
      </c>
      <c r="AF277" s="233"/>
      <c r="AG277" s="233"/>
      <c r="AH277" s="233"/>
      <c r="AI277" s="233"/>
      <c r="AJ277" s="233"/>
      <c r="AK277" s="233"/>
      <c r="AL277" s="234"/>
      <c r="AM277" s="235"/>
      <c r="AN277" s="235"/>
      <c r="AO277" s="235"/>
      <c r="AP277" s="235"/>
      <c r="AQ277" s="235"/>
      <c r="AR277" s="235"/>
      <c r="AS277" s="235"/>
      <c r="AT277" s="235"/>
      <c r="AU277" s="235"/>
      <c r="AV277" s="235"/>
      <c r="AW277" s="235"/>
      <c r="AX277" s="235"/>
      <c r="AY277" s="235"/>
      <c r="AZ277" s="235"/>
      <c r="BA277" s="235"/>
    </row>
    <row r="278" ht="18.0" customHeight="1">
      <c r="A278" s="229"/>
      <c r="B278" s="219">
        <v>45203.0</v>
      </c>
      <c r="C278" s="176" t="s">
        <v>105</v>
      </c>
      <c r="D278" s="220" t="s">
        <v>111</v>
      </c>
      <c r="E278" s="176" t="s">
        <v>82</v>
      </c>
      <c r="F278" s="176" t="s">
        <v>27</v>
      </c>
      <c r="G278" s="221">
        <v>45219.0</v>
      </c>
      <c r="H278" s="179">
        <f>IFERROR(__xludf.DUMMYFUNCTION("GOOGLEFINANCE(D278,""price"")"),327.92)</f>
        <v>327.92</v>
      </c>
      <c r="I278" s="222">
        <v>210.0</v>
      </c>
      <c r="J278" s="223"/>
      <c r="K278" s="223"/>
      <c r="L278" s="181" t="str">
        <f t="shared" si="18"/>
        <v>Option Closed</v>
      </c>
      <c r="M278" s="212">
        <v>1.0</v>
      </c>
      <c r="N278" s="201">
        <v>3.5</v>
      </c>
      <c r="O278" s="183" t="s">
        <v>86</v>
      </c>
      <c r="P278" s="206"/>
      <c r="Q278" s="184"/>
      <c r="R278" s="185">
        <f t="shared" si="53"/>
        <v>0.35</v>
      </c>
      <c r="S278" s="186">
        <f t="shared" si="54"/>
        <v>350</v>
      </c>
      <c r="T278" s="187">
        <f t="shared" si="55"/>
        <v>0</v>
      </c>
      <c r="U278" s="188">
        <f t="shared" si="22"/>
        <v>350</v>
      </c>
      <c r="V278" s="189">
        <f t="shared" si="23"/>
        <v>0.01666666667</v>
      </c>
      <c r="W278" s="190" t="str">
        <f t="shared" si="38"/>
        <v/>
      </c>
      <c r="X278" s="191" t="str">
        <f t="shared" si="56"/>
        <v>#VALUE!</v>
      </c>
      <c r="Y278" s="189" t="str">
        <f t="shared" si="57"/>
        <v>#REF!</v>
      </c>
      <c r="Z278" s="191" t="str">
        <f t="shared" si="8"/>
        <v/>
      </c>
      <c r="AA278" s="191">
        <f t="shared" si="9"/>
        <v>16</v>
      </c>
      <c r="AB278" s="191" t="str">
        <f t="shared" si="58"/>
        <v>#VALUE!</v>
      </c>
      <c r="AC278" s="189" t="str">
        <f t="shared" si="59"/>
        <v>#REF!</v>
      </c>
      <c r="AD278" s="191" t="str">
        <f t="shared" si="60"/>
        <v/>
      </c>
      <c r="AE278" s="191">
        <f t="shared" si="61"/>
        <v>890</v>
      </c>
      <c r="AF278" s="233"/>
      <c r="AG278" s="233"/>
      <c r="AH278" s="233"/>
      <c r="AI278" s="233"/>
      <c r="AJ278" s="233"/>
      <c r="AK278" s="233"/>
      <c r="AL278" s="234"/>
      <c r="AM278" s="235"/>
      <c r="AN278" s="235"/>
      <c r="AO278" s="235"/>
      <c r="AP278" s="235"/>
      <c r="AQ278" s="235"/>
      <c r="AR278" s="235"/>
      <c r="AS278" s="235"/>
      <c r="AT278" s="235"/>
      <c r="AU278" s="235"/>
      <c r="AV278" s="235"/>
      <c r="AW278" s="235"/>
      <c r="AX278" s="235"/>
      <c r="AY278" s="235"/>
      <c r="AZ278" s="235"/>
      <c r="BA278" s="235"/>
    </row>
    <row r="279" ht="18.0" customHeight="1">
      <c r="A279" s="229"/>
      <c r="B279" s="219">
        <v>45210.0</v>
      </c>
      <c r="C279" s="176" t="s">
        <v>91</v>
      </c>
      <c r="D279" s="220" t="s">
        <v>78</v>
      </c>
      <c r="E279" s="176" t="s">
        <v>26</v>
      </c>
      <c r="F279" s="176" t="s">
        <v>27</v>
      </c>
      <c r="G279" s="221">
        <v>45247.0</v>
      </c>
      <c r="H279" s="179">
        <f>IFERROR(__xludf.DUMMYFUNCTION("GOOGLEFINANCE(D279,""price"")"),720.66)</f>
        <v>720.66</v>
      </c>
      <c r="I279" s="222">
        <v>455.0</v>
      </c>
      <c r="J279" s="223"/>
      <c r="K279" s="223"/>
      <c r="L279" s="181" t="str">
        <f t="shared" si="18"/>
        <v>Option Closed</v>
      </c>
      <c r="M279" s="212">
        <v>1.0</v>
      </c>
      <c r="N279" s="201">
        <v>2.4</v>
      </c>
      <c r="O279" s="183" t="s">
        <v>83</v>
      </c>
      <c r="P279" s="206"/>
      <c r="Q279" s="184"/>
      <c r="R279" s="185">
        <f t="shared" si="53"/>
        <v>0.24</v>
      </c>
      <c r="S279" s="186">
        <f t="shared" si="54"/>
        <v>240</v>
      </c>
      <c r="T279" s="187">
        <f t="shared" si="55"/>
        <v>0</v>
      </c>
      <c r="U279" s="188">
        <f t="shared" si="22"/>
        <v>240</v>
      </c>
      <c r="V279" s="189">
        <f t="shared" si="23"/>
        <v>0.005274725275</v>
      </c>
      <c r="W279" s="190" t="str">
        <f t="shared" si="38"/>
        <v/>
      </c>
      <c r="X279" s="191" t="str">
        <f t="shared" si="56"/>
        <v>#VALUE!</v>
      </c>
      <c r="Y279" s="189" t="str">
        <f t="shared" si="57"/>
        <v>#REF!</v>
      </c>
      <c r="Z279" s="191" t="str">
        <f t="shared" si="8"/>
        <v/>
      </c>
      <c r="AA279" s="191">
        <f t="shared" si="9"/>
        <v>37</v>
      </c>
      <c r="AB279" s="191" t="str">
        <f t="shared" si="58"/>
        <v>#VALUE!</v>
      </c>
      <c r="AC279" s="189" t="str">
        <f t="shared" si="59"/>
        <v>#REF!</v>
      </c>
      <c r="AD279" s="191" t="str">
        <f t="shared" si="60"/>
        <v/>
      </c>
      <c r="AE279" s="191">
        <f t="shared" si="61"/>
        <v>883</v>
      </c>
      <c r="AF279" s="233"/>
      <c r="AG279" s="233"/>
      <c r="AH279" s="233"/>
      <c r="AI279" s="233"/>
      <c r="AJ279" s="233"/>
      <c r="AK279" s="233"/>
      <c r="AL279" s="234"/>
      <c r="AM279" s="235"/>
      <c r="AN279" s="235"/>
      <c r="AO279" s="235"/>
      <c r="AP279" s="235"/>
      <c r="AQ279" s="235"/>
      <c r="AR279" s="235"/>
      <c r="AS279" s="235"/>
      <c r="AT279" s="235"/>
      <c r="AU279" s="235"/>
      <c r="AV279" s="235"/>
      <c r="AW279" s="235"/>
      <c r="AX279" s="235"/>
      <c r="AY279" s="235"/>
      <c r="AZ279" s="235"/>
      <c r="BA279" s="235"/>
    </row>
    <row r="280" ht="18.0" customHeight="1">
      <c r="A280" s="229"/>
      <c r="B280" s="219">
        <v>45226.0</v>
      </c>
      <c r="C280" s="176" t="s">
        <v>105</v>
      </c>
      <c r="D280" s="220" t="s">
        <v>111</v>
      </c>
      <c r="E280" s="176" t="s">
        <v>82</v>
      </c>
      <c r="F280" s="176" t="s">
        <v>27</v>
      </c>
      <c r="G280" s="221">
        <v>45247.0</v>
      </c>
      <c r="H280" s="179">
        <f>IFERROR(__xludf.DUMMYFUNCTION("GOOGLEFINANCE(D280,""price"")"),327.92)</f>
        <v>327.92</v>
      </c>
      <c r="I280" s="222">
        <v>200.0</v>
      </c>
      <c r="J280" s="223"/>
      <c r="K280" s="223"/>
      <c r="L280" s="181" t="str">
        <f t="shared" si="18"/>
        <v>Option Closed</v>
      </c>
      <c r="M280" s="212">
        <v>1.0</v>
      </c>
      <c r="N280" s="201">
        <v>2.5</v>
      </c>
      <c r="O280" s="183" t="s">
        <v>86</v>
      </c>
      <c r="P280" s="206"/>
      <c r="Q280" s="184"/>
      <c r="R280" s="185">
        <f t="shared" si="53"/>
        <v>0.25</v>
      </c>
      <c r="S280" s="186">
        <f t="shared" si="54"/>
        <v>250</v>
      </c>
      <c r="T280" s="187">
        <f t="shared" si="55"/>
        <v>0</v>
      </c>
      <c r="U280" s="188">
        <f t="shared" si="22"/>
        <v>250</v>
      </c>
      <c r="V280" s="189">
        <f t="shared" si="23"/>
        <v>0.0125</v>
      </c>
      <c r="W280" s="190" t="str">
        <f t="shared" si="38"/>
        <v/>
      </c>
      <c r="X280" s="191" t="str">
        <f t="shared" si="56"/>
        <v>#VALUE!</v>
      </c>
      <c r="Y280" s="189" t="str">
        <f t="shared" si="57"/>
        <v>#REF!</v>
      </c>
      <c r="Z280" s="191" t="str">
        <f t="shared" si="8"/>
        <v/>
      </c>
      <c r="AA280" s="191">
        <f t="shared" si="9"/>
        <v>21</v>
      </c>
      <c r="AB280" s="191" t="str">
        <f t="shared" si="58"/>
        <v>#VALUE!</v>
      </c>
      <c r="AC280" s="189" t="str">
        <f t="shared" si="59"/>
        <v>#REF!</v>
      </c>
      <c r="AD280" s="191" t="str">
        <f t="shared" si="60"/>
        <v/>
      </c>
      <c r="AE280" s="191">
        <f t="shared" si="61"/>
        <v>867</v>
      </c>
      <c r="AF280" s="233"/>
      <c r="AG280" s="233"/>
      <c r="AH280" s="233"/>
      <c r="AI280" s="233"/>
      <c r="AJ280" s="233"/>
      <c r="AK280" s="233"/>
      <c r="AL280" s="234"/>
      <c r="AM280" s="235"/>
      <c r="AN280" s="235"/>
      <c r="AO280" s="235"/>
      <c r="AP280" s="235"/>
      <c r="AQ280" s="235"/>
      <c r="AR280" s="235"/>
      <c r="AS280" s="235"/>
      <c r="AT280" s="235"/>
      <c r="AU280" s="235"/>
      <c r="AV280" s="235"/>
      <c r="AW280" s="235"/>
      <c r="AX280" s="235"/>
      <c r="AY280" s="235"/>
      <c r="AZ280" s="235"/>
      <c r="BA280" s="235"/>
    </row>
    <row r="281" ht="18.0" customHeight="1">
      <c r="A281" s="229"/>
      <c r="B281" s="219">
        <v>45232.0</v>
      </c>
      <c r="C281" s="176" t="s">
        <v>91</v>
      </c>
      <c r="D281" s="220" t="s">
        <v>78</v>
      </c>
      <c r="E281" s="176" t="s">
        <v>26</v>
      </c>
      <c r="F281" s="176" t="s">
        <v>27</v>
      </c>
      <c r="G281" s="221">
        <v>45275.0</v>
      </c>
      <c r="H281" s="179">
        <f>IFERROR(__xludf.DUMMYFUNCTION("GOOGLEFINANCE(D281,""price"")"),720.66)</f>
        <v>720.66</v>
      </c>
      <c r="I281" s="222">
        <v>450.0</v>
      </c>
      <c r="J281" s="223"/>
      <c r="K281" s="223"/>
      <c r="L281" s="181" t="str">
        <f t="shared" si="18"/>
        <v>Option Closed</v>
      </c>
      <c r="M281" s="212">
        <v>8.0</v>
      </c>
      <c r="N281" s="201">
        <v>1.5</v>
      </c>
      <c r="O281" s="183" t="s">
        <v>98</v>
      </c>
      <c r="P281" s="206"/>
      <c r="Q281" s="184"/>
      <c r="R281" s="185">
        <f t="shared" si="53"/>
        <v>0.15</v>
      </c>
      <c r="S281" s="186">
        <f t="shared" si="54"/>
        <v>1200</v>
      </c>
      <c r="T281" s="187">
        <f t="shared" si="55"/>
        <v>0</v>
      </c>
      <c r="U281" s="188">
        <f t="shared" si="22"/>
        <v>1200</v>
      </c>
      <c r="V281" s="189">
        <f t="shared" si="23"/>
        <v>0.003333333333</v>
      </c>
      <c r="W281" s="190" t="str">
        <f t="shared" si="38"/>
        <v/>
      </c>
      <c r="X281" s="191" t="str">
        <f t="shared" si="56"/>
        <v>#VALUE!</v>
      </c>
      <c r="Y281" s="189" t="str">
        <f t="shared" si="57"/>
        <v>#REF!</v>
      </c>
      <c r="Z281" s="191" t="str">
        <f t="shared" si="8"/>
        <v/>
      </c>
      <c r="AA281" s="191">
        <f t="shared" si="9"/>
        <v>43</v>
      </c>
      <c r="AB281" s="191" t="str">
        <f t="shared" si="58"/>
        <v>#VALUE!</v>
      </c>
      <c r="AC281" s="189" t="str">
        <f t="shared" si="59"/>
        <v>#REF!</v>
      </c>
      <c r="AD281" s="191" t="str">
        <f t="shared" si="60"/>
        <v/>
      </c>
      <c r="AE281" s="191">
        <f t="shared" si="61"/>
        <v>861</v>
      </c>
      <c r="AF281" s="233"/>
      <c r="AG281" s="233"/>
      <c r="AH281" s="233"/>
      <c r="AI281" s="233"/>
      <c r="AJ281" s="233"/>
      <c r="AK281" s="233"/>
      <c r="AL281" s="234"/>
      <c r="AM281" s="235"/>
      <c r="AN281" s="235"/>
      <c r="AO281" s="235"/>
      <c r="AP281" s="235"/>
      <c r="AQ281" s="235"/>
      <c r="AR281" s="235"/>
      <c r="AS281" s="235"/>
      <c r="AT281" s="235"/>
      <c r="AU281" s="235"/>
      <c r="AV281" s="235"/>
      <c r="AW281" s="235"/>
      <c r="AX281" s="235"/>
      <c r="AY281" s="235"/>
      <c r="AZ281" s="235"/>
      <c r="BA281" s="235"/>
    </row>
    <row r="282" ht="18.0" customHeight="1">
      <c r="A282" s="229"/>
      <c r="B282" s="219">
        <v>45233.0</v>
      </c>
      <c r="C282" s="176" t="s">
        <v>91</v>
      </c>
      <c r="D282" s="220" t="s">
        <v>111</v>
      </c>
      <c r="E282" s="176" t="s">
        <v>26</v>
      </c>
      <c r="F282" s="176" t="s">
        <v>27</v>
      </c>
      <c r="G282" s="221">
        <v>45275.0</v>
      </c>
      <c r="H282" s="179">
        <f>IFERROR(__xludf.DUMMYFUNCTION("GOOGLEFINANCE(D282,""price"")"),327.92)</f>
        <v>327.92</v>
      </c>
      <c r="I282" s="222">
        <v>225.0</v>
      </c>
      <c r="J282" s="223"/>
      <c r="K282" s="223"/>
      <c r="L282" s="181" t="str">
        <f t="shared" si="18"/>
        <v>Option Closed</v>
      </c>
      <c r="M282" s="212">
        <v>8.0</v>
      </c>
      <c r="N282" s="201">
        <v>0.75</v>
      </c>
      <c r="O282" s="183" t="s">
        <v>98</v>
      </c>
      <c r="P282" s="206"/>
      <c r="Q282" s="184"/>
      <c r="R282" s="185">
        <f t="shared" si="53"/>
        <v>0.075</v>
      </c>
      <c r="S282" s="186">
        <f t="shared" si="54"/>
        <v>600</v>
      </c>
      <c r="T282" s="187">
        <f t="shared" si="55"/>
        <v>0</v>
      </c>
      <c r="U282" s="188">
        <f t="shared" si="22"/>
        <v>600</v>
      </c>
      <c r="V282" s="189">
        <f t="shared" si="23"/>
        <v>0.003333333333</v>
      </c>
      <c r="W282" s="190" t="str">
        <f t="shared" si="38"/>
        <v/>
      </c>
      <c r="X282" s="191" t="str">
        <f t="shared" si="56"/>
        <v>#VALUE!</v>
      </c>
      <c r="Y282" s="189" t="str">
        <f t="shared" si="57"/>
        <v>#REF!</v>
      </c>
      <c r="Z282" s="191" t="str">
        <f t="shared" si="8"/>
        <v/>
      </c>
      <c r="AA282" s="191">
        <f t="shared" si="9"/>
        <v>42</v>
      </c>
      <c r="AB282" s="191" t="str">
        <f t="shared" si="58"/>
        <v>#VALUE!</v>
      </c>
      <c r="AC282" s="189" t="str">
        <f t="shared" si="59"/>
        <v>#REF!</v>
      </c>
      <c r="AD282" s="191" t="str">
        <f t="shared" si="60"/>
        <v/>
      </c>
      <c r="AE282" s="191">
        <f t="shared" si="61"/>
        <v>860</v>
      </c>
      <c r="AF282" s="233"/>
      <c r="AG282" s="233"/>
      <c r="AH282" s="233"/>
      <c r="AI282" s="233"/>
      <c r="AJ282" s="233"/>
      <c r="AK282" s="233"/>
      <c r="AL282" s="234"/>
      <c r="AM282" s="235"/>
      <c r="AN282" s="235"/>
      <c r="AO282" s="235"/>
      <c r="AP282" s="235"/>
      <c r="AQ282" s="235"/>
      <c r="AR282" s="235"/>
      <c r="AS282" s="235"/>
      <c r="AT282" s="235"/>
      <c r="AU282" s="235"/>
      <c r="AV282" s="235"/>
      <c r="AW282" s="235"/>
      <c r="AX282" s="235"/>
      <c r="AY282" s="235"/>
      <c r="AZ282" s="235"/>
      <c r="BA282" s="235"/>
    </row>
    <row r="283" ht="18.0" customHeight="1">
      <c r="A283" s="229"/>
      <c r="B283" s="219">
        <v>45264.0</v>
      </c>
      <c r="C283" s="176" t="s">
        <v>91</v>
      </c>
      <c r="D283" s="220" t="s">
        <v>111</v>
      </c>
      <c r="E283" s="176" t="s">
        <v>26</v>
      </c>
      <c r="F283" s="176" t="s">
        <v>27</v>
      </c>
      <c r="G283" s="221">
        <v>45275.0</v>
      </c>
      <c r="H283" s="179">
        <f>IFERROR(__xludf.DUMMYFUNCTION("GOOGLEFINANCE(D283,""price"")"),327.92)</f>
        <v>327.92</v>
      </c>
      <c r="I283" s="222">
        <v>230.0</v>
      </c>
      <c r="J283" s="223"/>
      <c r="K283" s="223"/>
      <c r="L283" s="181" t="str">
        <f t="shared" si="18"/>
        <v>Option Closed</v>
      </c>
      <c r="M283" s="212">
        <v>2.0</v>
      </c>
      <c r="N283" s="201">
        <v>1.5</v>
      </c>
      <c r="O283" s="183" t="s">
        <v>98</v>
      </c>
      <c r="P283" s="206"/>
      <c r="Q283" s="184"/>
      <c r="R283" s="185">
        <f t="shared" si="53"/>
        <v>0.15</v>
      </c>
      <c r="S283" s="186">
        <f t="shared" si="54"/>
        <v>300</v>
      </c>
      <c r="T283" s="187">
        <f t="shared" si="55"/>
        <v>0</v>
      </c>
      <c r="U283" s="188">
        <f t="shared" si="22"/>
        <v>300</v>
      </c>
      <c r="V283" s="189">
        <f t="shared" si="23"/>
        <v>0.00652173913</v>
      </c>
      <c r="W283" s="190" t="str">
        <f t="shared" si="38"/>
        <v/>
      </c>
      <c r="X283" s="191" t="str">
        <f t="shared" si="56"/>
        <v>#VALUE!</v>
      </c>
      <c r="Y283" s="189" t="str">
        <f t="shared" si="57"/>
        <v>#REF!</v>
      </c>
      <c r="Z283" s="191" t="str">
        <f t="shared" si="8"/>
        <v/>
      </c>
      <c r="AA283" s="191">
        <f t="shared" si="9"/>
        <v>11</v>
      </c>
      <c r="AB283" s="191" t="str">
        <f t="shared" si="58"/>
        <v>#VALUE!</v>
      </c>
      <c r="AC283" s="189" t="str">
        <f t="shared" si="59"/>
        <v>#REF!</v>
      </c>
      <c r="AD283" s="191" t="str">
        <f t="shared" si="60"/>
        <v/>
      </c>
      <c r="AE283" s="191">
        <f t="shared" si="61"/>
        <v>829</v>
      </c>
      <c r="AF283" s="233"/>
      <c r="AG283" s="233"/>
      <c r="AH283" s="233"/>
      <c r="AI283" s="233"/>
      <c r="AJ283" s="233"/>
      <c r="AK283" s="233"/>
      <c r="AL283" s="234"/>
      <c r="AM283" s="235"/>
      <c r="AN283" s="235"/>
      <c r="AO283" s="235"/>
      <c r="AP283" s="235"/>
      <c r="AQ283" s="235"/>
      <c r="AR283" s="235"/>
      <c r="AS283" s="235"/>
      <c r="AT283" s="235"/>
      <c r="AU283" s="235"/>
      <c r="AV283" s="235"/>
      <c r="AW283" s="235"/>
      <c r="AX283" s="235"/>
      <c r="AY283" s="235"/>
      <c r="AZ283" s="235"/>
      <c r="BA283" s="235"/>
    </row>
    <row r="284" ht="18.0" customHeight="1">
      <c r="A284" s="229"/>
      <c r="B284" s="219">
        <v>45245.0</v>
      </c>
      <c r="C284" s="176" t="s">
        <v>91</v>
      </c>
      <c r="D284" s="220" t="s">
        <v>84</v>
      </c>
      <c r="E284" s="176" t="s">
        <v>26</v>
      </c>
      <c r="F284" s="176" t="s">
        <v>27</v>
      </c>
      <c r="G284" s="221">
        <v>45275.0</v>
      </c>
      <c r="H284" s="179">
        <f>IFERROR(__xludf.DUMMYFUNCTION("GOOGLEFINANCE(D284,""price"")"),25.54)</f>
        <v>25.54</v>
      </c>
      <c r="I284" s="222">
        <v>40.0</v>
      </c>
      <c r="J284" s="223"/>
      <c r="K284" s="223"/>
      <c r="L284" s="181" t="str">
        <f t="shared" si="18"/>
        <v>Option Closed</v>
      </c>
      <c r="M284" s="212">
        <v>1.0</v>
      </c>
      <c r="N284" s="201">
        <v>1.5</v>
      </c>
      <c r="O284" s="183" t="s">
        <v>86</v>
      </c>
      <c r="P284" s="206"/>
      <c r="Q284" s="184"/>
      <c r="R284" s="185">
        <f t="shared" si="53"/>
        <v>0.15</v>
      </c>
      <c r="S284" s="186">
        <f t="shared" si="54"/>
        <v>150</v>
      </c>
      <c r="T284" s="187">
        <f t="shared" si="55"/>
        <v>0</v>
      </c>
      <c r="U284" s="188">
        <f t="shared" si="22"/>
        <v>150</v>
      </c>
      <c r="V284" s="189">
        <f t="shared" si="23"/>
        <v>0.0375</v>
      </c>
      <c r="W284" s="190" t="str">
        <f t="shared" si="38"/>
        <v/>
      </c>
      <c r="X284" s="191" t="str">
        <f t="shared" si="56"/>
        <v>#VALUE!</v>
      </c>
      <c r="Y284" s="189" t="str">
        <f t="shared" si="57"/>
        <v>#REF!</v>
      </c>
      <c r="Z284" s="191" t="str">
        <f t="shared" si="8"/>
        <v/>
      </c>
      <c r="AA284" s="191">
        <f t="shared" si="9"/>
        <v>30</v>
      </c>
      <c r="AB284" s="191" t="str">
        <f t="shared" si="58"/>
        <v>#VALUE!</v>
      </c>
      <c r="AC284" s="189" t="str">
        <f t="shared" si="59"/>
        <v>#REF!</v>
      </c>
      <c r="AD284" s="191" t="str">
        <f t="shared" si="60"/>
        <v/>
      </c>
      <c r="AE284" s="191">
        <f t="shared" si="61"/>
        <v>848</v>
      </c>
      <c r="AF284" s="233"/>
      <c r="AG284" s="233"/>
      <c r="AH284" s="233"/>
      <c r="AI284" s="233"/>
      <c r="AJ284" s="233"/>
      <c r="AK284" s="233"/>
      <c r="AL284" s="234"/>
      <c r="AM284" s="235"/>
      <c r="AN284" s="235"/>
      <c r="AO284" s="235"/>
      <c r="AP284" s="235"/>
      <c r="AQ284" s="235"/>
      <c r="AR284" s="235"/>
      <c r="AS284" s="235"/>
      <c r="AT284" s="235"/>
      <c r="AU284" s="235"/>
      <c r="AV284" s="235"/>
      <c r="AW284" s="235"/>
      <c r="AX284" s="235"/>
      <c r="AY284" s="235"/>
      <c r="AZ284" s="235"/>
      <c r="BA284" s="235"/>
    </row>
    <row r="285" ht="18.0" customHeight="1">
      <c r="A285" s="229"/>
      <c r="B285" s="219">
        <v>45245.0</v>
      </c>
      <c r="C285" s="176" t="s">
        <v>91</v>
      </c>
      <c r="D285" s="220" t="s">
        <v>78</v>
      </c>
      <c r="E285" s="176" t="s">
        <v>26</v>
      </c>
      <c r="F285" s="176" t="s">
        <v>27</v>
      </c>
      <c r="G285" s="221">
        <v>45275.0</v>
      </c>
      <c r="H285" s="179">
        <f>IFERROR(__xludf.DUMMYFUNCTION("GOOGLEFINANCE(D285,""price"")"),720.66)</f>
        <v>720.66</v>
      </c>
      <c r="I285" s="222">
        <v>465.0</v>
      </c>
      <c r="J285" s="223"/>
      <c r="K285" s="223"/>
      <c r="L285" s="181" t="str">
        <f t="shared" si="18"/>
        <v>Option Closed</v>
      </c>
      <c r="M285" s="212">
        <v>2.0</v>
      </c>
      <c r="N285" s="201">
        <v>3.0</v>
      </c>
      <c r="O285" s="183" t="s">
        <v>98</v>
      </c>
      <c r="P285" s="206"/>
      <c r="Q285" s="184"/>
      <c r="R285" s="185">
        <f t="shared" si="53"/>
        <v>0.3</v>
      </c>
      <c r="S285" s="186">
        <f t="shared" si="54"/>
        <v>600</v>
      </c>
      <c r="T285" s="187">
        <f t="shared" si="55"/>
        <v>0</v>
      </c>
      <c r="U285" s="188">
        <f t="shared" si="22"/>
        <v>600</v>
      </c>
      <c r="V285" s="189">
        <f t="shared" si="23"/>
        <v>0.006451612903</v>
      </c>
      <c r="W285" s="190" t="str">
        <f t="shared" si="38"/>
        <v/>
      </c>
      <c r="X285" s="191" t="str">
        <f t="shared" si="56"/>
        <v>#VALUE!</v>
      </c>
      <c r="Y285" s="189" t="str">
        <f t="shared" si="57"/>
        <v>#REF!</v>
      </c>
      <c r="Z285" s="191" t="str">
        <f t="shared" si="8"/>
        <v/>
      </c>
      <c r="AA285" s="191">
        <f t="shared" si="9"/>
        <v>30</v>
      </c>
      <c r="AB285" s="191" t="str">
        <f t="shared" si="58"/>
        <v>#VALUE!</v>
      </c>
      <c r="AC285" s="189" t="str">
        <f t="shared" si="59"/>
        <v>#REF!</v>
      </c>
      <c r="AD285" s="191" t="str">
        <f t="shared" si="60"/>
        <v/>
      </c>
      <c r="AE285" s="191">
        <f t="shared" si="61"/>
        <v>848</v>
      </c>
      <c r="AF285" s="233"/>
      <c r="AG285" s="233"/>
      <c r="AH285" s="233"/>
      <c r="AI285" s="233"/>
      <c r="AJ285" s="233"/>
      <c r="AK285" s="233"/>
      <c r="AL285" s="234"/>
      <c r="AM285" s="235"/>
      <c r="AN285" s="235"/>
      <c r="AO285" s="235"/>
      <c r="AP285" s="235"/>
      <c r="AQ285" s="235"/>
      <c r="AR285" s="235"/>
      <c r="AS285" s="235"/>
      <c r="AT285" s="235"/>
      <c r="AU285" s="235"/>
      <c r="AV285" s="235"/>
      <c r="AW285" s="235"/>
      <c r="AX285" s="235"/>
      <c r="AY285" s="235"/>
      <c r="AZ285" s="235"/>
      <c r="BA285" s="235"/>
    </row>
    <row r="286" ht="18.0" customHeight="1">
      <c r="A286" s="229"/>
      <c r="B286" s="219">
        <v>45275.0</v>
      </c>
      <c r="C286" s="176" t="s">
        <v>91</v>
      </c>
      <c r="D286" s="220" t="s">
        <v>78</v>
      </c>
      <c r="E286" s="176" t="s">
        <v>26</v>
      </c>
      <c r="F286" s="176" t="s">
        <v>27</v>
      </c>
      <c r="G286" s="221">
        <v>45366.0</v>
      </c>
      <c r="H286" s="179">
        <f>IFERROR(__xludf.DUMMYFUNCTION("GOOGLEFINANCE(D286,""price"")"),720.66)</f>
        <v>720.66</v>
      </c>
      <c r="I286" s="222">
        <v>480.0</v>
      </c>
      <c r="J286" s="223"/>
      <c r="K286" s="223"/>
      <c r="L286" s="181" t="str">
        <f t="shared" si="18"/>
        <v>Option Closed</v>
      </c>
      <c r="M286" s="212">
        <v>2.0</v>
      </c>
      <c r="N286" s="201">
        <v>0.0</v>
      </c>
      <c r="O286" s="183" t="s">
        <v>98</v>
      </c>
      <c r="P286" s="206"/>
      <c r="Q286" s="184"/>
      <c r="R286" s="185">
        <f t="shared" si="53"/>
        <v>0</v>
      </c>
      <c r="S286" s="186">
        <f t="shared" si="54"/>
        <v>0</v>
      </c>
      <c r="T286" s="187">
        <f t="shared" si="55"/>
        <v>0</v>
      </c>
      <c r="U286" s="188">
        <f t="shared" si="22"/>
        <v>0</v>
      </c>
      <c r="V286" s="189">
        <f t="shared" si="23"/>
        <v>0</v>
      </c>
      <c r="W286" s="190" t="str">
        <f t="shared" si="38"/>
        <v/>
      </c>
      <c r="X286" s="191" t="str">
        <f t="shared" si="56"/>
        <v>#VALUE!</v>
      </c>
      <c r="Y286" s="189" t="str">
        <f t="shared" si="57"/>
        <v>#REF!</v>
      </c>
      <c r="Z286" s="191" t="str">
        <f t="shared" si="8"/>
        <v/>
      </c>
      <c r="AA286" s="191">
        <f t="shared" si="9"/>
        <v>91</v>
      </c>
      <c r="AB286" s="191" t="str">
        <f t="shared" si="58"/>
        <v>#VALUE!</v>
      </c>
      <c r="AC286" s="189" t="str">
        <f t="shared" si="59"/>
        <v>#REF!</v>
      </c>
      <c r="AD286" s="191" t="str">
        <f t="shared" si="60"/>
        <v/>
      </c>
      <c r="AE286" s="191">
        <f t="shared" si="61"/>
        <v>818</v>
      </c>
      <c r="AF286" s="233"/>
      <c r="AG286" s="233"/>
      <c r="AH286" s="233"/>
      <c r="AI286" s="233"/>
      <c r="AJ286" s="233"/>
      <c r="AK286" s="233"/>
      <c r="AL286" s="234"/>
      <c r="AM286" s="235"/>
      <c r="AN286" s="235"/>
      <c r="AO286" s="235"/>
      <c r="AP286" s="235"/>
      <c r="AQ286" s="235"/>
      <c r="AR286" s="235"/>
      <c r="AS286" s="235"/>
      <c r="AT286" s="235"/>
      <c r="AU286" s="235"/>
      <c r="AV286" s="235"/>
      <c r="AW286" s="235"/>
      <c r="AX286" s="235"/>
      <c r="AY286" s="235"/>
      <c r="AZ286" s="235"/>
      <c r="BA286" s="235"/>
    </row>
    <row r="287" ht="18.0" customHeight="1">
      <c r="A287" s="229"/>
      <c r="B287" s="219">
        <v>45275.0</v>
      </c>
      <c r="C287" s="176" t="s">
        <v>91</v>
      </c>
      <c r="D287" s="220" t="s">
        <v>99</v>
      </c>
      <c r="E287" s="176" t="s">
        <v>26</v>
      </c>
      <c r="F287" s="176" t="s">
        <v>27</v>
      </c>
      <c r="G287" s="221">
        <v>45458.0</v>
      </c>
      <c r="H287" s="179">
        <f>IFERROR(__xludf.DUMMYFUNCTION("GOOGLEFINANCE(D287,""price"")"),365.93)</f>
        <v>365.93</v>
      </c>
      <c r="I287" s="222">
        <v>305.0</v>
      </c>
      <c r="J287" s="223"/>
      <c r="K287" s="223"/>
      <c r="L287" s="181" t="str">
        <f t="shared" si="18"/>
        <v>Option Closed</v>
      </c>
      <c r="M287" s="212">
        <v>3.0</v>
      </c>
      <c r="N287" s="201">
        <v>0.0</v>
      </c>
      <c r="O287" s="183" t="s">
        <v>98</v>
      </c>
      <c r="P287" s="206"/>
      <c r="Q287" s="184"/>
      <c r="R287" s="185">
        <f t="shared" si="53"/>
        <v>0</v>
      </c>
      <c r="S287" s="186">
        <f t="shared" si="54"/>
        <v>0</v>
      </c>
      <c r="T287" s="187">
        <f t="shared" si="55"/>
        <v>0</v>
      </c>
      <c r="U287" s="188">
        <f t="shared" si="22"/>
        <v>0</v>
      </c>
      <c r="V287" s="189">
        <f t="shared" si="23"/>
        <v>0</v>
      </c>
      <c r="W287" s="190" t="str">
        <f t="shared" si="38"/>
        <v/>
      </c>
      <c r="X287" s="191" t="str">
        <f t="shared" si="56"/>
        <v>#VALUE!</v>
      </c>
      <c r="Y287" s="189" t="str">
        <f t="shared" si="57"/>
        <v>#REF!</v>
      </c>
      <c r="Z287" s="191" t="str">
        <f t="shared" si="8"/>
        <v/>
      </c>
      <c r="AA287" s="191">
        <f t="shared" si="9"/>
        <v>183</v>
      </c>
      <c r="AB287" s="191" t="str">
        <f t="shared" si="58"/>
        <v>#VALUE!</v>
      </c>
      <c r="AC287" s="189" t="str">
        <f t="shared" si="59"/>
        <v>#REF!</v>
      </c>
      <c r="AD287" s="191" t="str">
        <f t="shared" si="60"/>
        <v/>
      </c>
      <c r="AE287" s="191">
        <f t="shared" si="61"/>
        <v>818</v>
      </c>
      <c r="AF287" s="233"/>
      <c r="AG287" s="233"/>
      <c r="AH287" s="233"/>
      <c r="AI287" s="233"/>
      <c r="AJ287" s="233"/>
      <c r="AK287" s="233"/>
      <c r="AL287" s="234"/>
      <c r="AM287" s="235"/>
      <c r="AN287" s="235"/>
      <c r="AO287" s="235"/>
      <c r="AP287" s="235"/>
      <c r="AQ287" s="235"/>
      <c r="AR287" s="235"/>
      <c r="AS287" s="235"/>
      <c r="AT287" s="235"/>
      <c r="AU287" s="235"/>
      <c r="AV287" s="235"/>
      <c r="AW287" s="235"/>
      <c r="AX287" s="235"/>
      <c r="AY287" s="235"/>
      <c r="AZ287" s="235"/>
      <c r="BA287" s="235"/>
    </row>
    <row r="288" ht="18.0" customHeight="1">
      <c r="A288" s="229"/>
      <c r="B288" s="219">
        <v>45366.0</v>
      </c>
      <c r="C288" s="176" t="s">
        <v>91</v>
      </c>
      <c r="D288" s="220" t="s">
        <v>78</v>
      </c>
      <c r="E288" s="176" t="s">
        <v>26</v>
      </c>
      <c r="F288" s="176" t="s">
        <v>27</v>
      </c>
      <c r="G288" s="221">
        <v>45520.0</v>
      </c>
      <c r="H288" s="179">
        <f>IFERROR(__xludf.DUMMYFUNCTION("GOOGLEFINANCE(D288,""price"")"),720.66)</f>
        <v>720.66</v>
      </c>
      <c r="I288" s="222">
        <v>490.0</v>
      </c>
      <c r="J288" s="223"/>
      <c r="K288" s="223"/>
      <c r="L288" s="181" t="str">
        <f t="shared" si="18"/>
        <v>Option Closed</v>
      </c>
      <c r="M288" s="212">
        <v>8.0</v>
      </c>
      <c r="N288" s="201">
        <v>0.0</v>
      </c>
      <c r="O288" s="183" t="s">
        <v>98</v>
      </c>
      <c r="P288" s="206"/>
      <c r="Q288" s="184"/>
      <c r="R288" s="185">
        <f t="shared" si="53"/>
        <v>0</v>
      </c>
      <c r="S288" s="186">
        <f t="shared" si="54"/>
        <v>0</v>
      </c>
      <c r="T288" s="187">
        <f t="shared" si="55"/>
        <v>0</v>
      </c>
      <c r="U288" s="188">
        <f t="shared" si="22"/>
        <v>0</v>
      </c>
      <c r="V288" s="189">
        <f t="shared" si="23"/>
        <v>0</v>
      </c>
      <c r="W288" s="190" t="str">
        <f t="shared" si="38"/>
        <v/>
      </c>
      <c r="X288" s="191" t="str">
        <f t="shared" si="56"/>
        <v>#VALUE!</v>
      </c>
      <c r="Y288" s="189" t="str">
        <f t="shared" si="57"/>
        <v>#REF!</v>
      </c>
      <c r="Z288" s="191" t="str">
        <f t="shared" si="8"/>
        <v/>
      </c>
      <c r="AA288" s="191">
        <f t="shared" si="9"/>
        <v>154</v>
      </c>
      <c r="AB288" s="191" t="str">
        <f t="shared" si="58"/>
        <v>#VALUE!</v>
      </c>
      <c r="AC288" s="189" t="str">
        <f t="shared" si="59"/>
        <v>#REF!</v>
      </c>
      <c r="AD288" s="191" t="str">
        <f t="shared" si="60"/>
        <v/>
      </c>
      <c r="AE288" s="191">
        <f t="shared" si="61"/>
        <v>727</v>
      </c>
      <c r="AF288" s="233"/>
      <c r="AG288" s="233"/>
      <c r="AH288" s="233"/>
      <c r="AI288" s="233"/>
      <c r="AJ288" s="233"/>
      <c r="AK288" s="233"/>
      <c r="AL288" s="234"/>
      <c r="AM288" s="235"/>
      <c r="AN288" s="235"/>
      <c r="AO288" s="235"/>
      <c r="AP288" s="235"/>
      <c r="AQ288" s="235"/>
      <c r="AR288" s="235"/>
      <c r="AS288" s="235"/>
      <c r="AT288" s="235"/>
      <c r="AU288" s="235"/>
      <c r="AV288" s="235"/>
      <c r="AW288" s="235"/>
      <c r="AX288" s="235"/>
      <c r="AY288" s="235"/>
      <c r="AZ288" s="235"/>
      <c r="BA288" s="235"/>
    </row>
    <row r="289" ht="18.0" customHeight="1">
      <c r="A289" s="229"/>
      <c r="B289" s="219">
        <v>45275.0</v>
      </c>
      <c r="C289" s="176" t="s">
        <v>91</v>
      </c>
      <c r="D289" s="220" t="s">
        <v>111</v>
      </c>
      <c r="E289" s="176" t="s">
        <v>26</v>
      </c>
      <c r="F289" s="176" t="s">
        <v>27</v>
      </c>
      <c r="G289" s="221">
        <v>45458.0</v>
      </c>
      <c r="H289" s="179">
        <f>IFERROR(__xludf.DUMMYFUNCTION("GOOGLEFINANCE(D289,""price"")"),327.92)</f>
        <v>327.92</v>
      </c>
      <c r="I289" s="222">
        <v>235.0</v>
      </c>
      <c r="J289" s="223"/>
      <c r="K289" s="223"/>
      <c r="L289" s="181" t="str">
        <f t="shared" si="18"/>
        <v>Option Closed</v>
      </c>
      <c r="M289" s="212">
        <v>10.0</v>
      </c>
      <c r="N289" s="201">
        <v>1.0</v>
      </c>
      <c r="O289" s="183" t="s">
        <v>98</v>
      </c>
      <c r="P289" s="206"/>
      <c r="Q289" s="184"/>
      <c r="R289" s="185">
        <f t="shared" si="53"/>
        <v>0.1</v>
      </c>
      <c r="S289" s="186">
        <f t="shared" si="54"/>
        <v>1000</v>
      </c>
      <c r="T289" s="187">
        <f t="shared" si="55"/>
        <v>0</v>
      </c>
      <c r="U289" s="188">
        <f t="shared" si="22"/>
        <v>1000</v>
      </c>
      <c r="V289" s="189">
        <f t="shared" si="23"/>
        <v>0.004255319149</v>
      </c>
      <c r="W289" s="190" t="str">
        <f t="shared" si="38"/>
        <v/>
      </c>
      <c r="X289" s="191" t="str">
        <f t="shared" si="56"/>
        <v>#VALUE!</v>
      </c>
      <c r="Y289" s="189" t="str">
        <f t="shared" si="57"/>
        <v>#REF!</v>
      </c>
      <c r="Z289" s="191" t="str">
        <f t="shared" si="8"/>
        <v/>
      </c>
      <c r="AA289" s="191">
        <f t="shared" si="9"/>
        <v>183</v>
      </c>
      <c r="AB289" s="191" t="str">
        <f t="shared" si="58"/>
        <v>#VALUE!</v>
      </c>
      <c r="AC289" s="189" t="str">
        <f t="shared" si="59"/>
        <v>#REF!</v>
      </c>
      <c r="AD289" s="191" t="str">
        <f t="shared" si="60"/>
        <v/>
      </c>
      <c r="AE289" s="191">
        <f t="shared" si="61"/>
        <v>818</v>
      </c>
      <c r="AF289" s="233"/>
      <c r="AG289" s="233"/>
      <c r="AH289" s="233"/>
      <c r="AI289" s="233"/>
      <c r="AJ289" s="233"/>
      <c r="AK289" s="233"/>
      <c r="AL289" s="234"/>
      <c r="AM289" s="235"/>
      <c r="AN289" s="235"/>
      <c r="AO289" s="235"/>
      <c r="AP289" s="235"/>
      <c r="AQ289" s="235"/>
      <c r="AR289" s="235"/>
      <c r="AS289" s="235"/>
      <c r="AT289" s="235"/>
      <c r="AU289" s="235"/>
      <c r="AV289" s="235"/>
      <c r="AW289" s="235"/>
      <c r="AX289" s="235"/>
      <c r="AY289" s="235"/>
      <c r="AZ289" s="235"/>
      <c r="BA289" s="235"/>
    </row>
    <row r="290" ht="18.0" customHeight="1">
      <c r="A290" s="218"/>
      <c r="B290" s="219">
        <v>45365.0</v>
      </c>
      <c r="C290" s="176" t="s">
        <v>91</v>
      </c>
      <c r="D290" s="220" t="s">
        <v>78</v>
      </c>
      <c r="E290" s="176" t="s">
        <v>26</v>
      </c>
      <c r="F290" s="176" t="s">
        <v>27</v>
      </c>
      <c r="G290" s="221">
        <v>45520.0</v>
      </c>
      <c r="H290" s="179">
        <f>IFERROR(__xludf.DUMMYFUNCTION("GOOGLEFINANCE(D290,""price"")"),720.66)</f>
        <v>720.66</v>
      </c>
      <c r="I290" s="222">
        <v>505.0</v>
      </c>
      <c r="J290" s="223"/>
      <c r="K290" s="223"/>
      <c r="L290" s="181" t="str">
        <f t="shared" si="18"/>
        <v>Option Closed</v>
      </c>
      <c r="M290" s="212">
        <v>2.0</v>
      </c>
      <c r="N290" s="201">
        <v>0.0</v>
      </c>
      <c r="O290" s="183" t="s">
        <v>98</v>
      </c>
      <c r="P290" s="206"/>
      <c r="Q290" s="184"/>
      <c r="R290" s="185">
        <f t="shared" si="53"/>
        <v>0</v>
      </c>
      <c r="S290" s="186">
        <f t="shared" si="54"/>
        <v>0</v>
      </c>
      <c r="T290" s="187">
        <f t="shared" si="55"/>
        <v>0</v>
      </c>
      <c r="U290" s="188">
        <f t="shared" si="22"/>
        <v>0</v>
      </c>
      <c r="V290" s="189">
        <f t="shared" si="23"/>
        <v>0</v>
      </c>
      <c r="W290" s="190" t="str">
        <f t="shared" si="38"/>
        <v/>
      </c>
      <c r="X290" s="191" t="str">
        <f t="shared" si="56"/>
        <v>#VALUE!</v>
      </c>
      <c r="Y290" s="189" t="str">
        <f t="shared" si="57"/>
        <v>#REF!</v>
      </c>
      <c r="Z290" s="191" t="str">
        <f t="shared" si="8"/>
        <v/>
      </c>
      <c r="AA290" s="191">
        <f t="shared" si="9"/>
        <v>155</v>
      </c>
      <c r="AB290" s="191" t="str">
        <f t="shared" si="58"/>
        <v>#VALUE!</v>
      </c>
      <c r="AC290" s="189" t="str">
        <f t="shared" si="59"/>
        <v>#REF!</v>
      </c>
      <c r="AD290" s="191" t="str">
        <f t="shared" si="60"/>
        <v/>
      </c>
      <c r="AE290" s="191">
        <f t="shared" si="61"/>
        <v>728</v>
      </c>
      <c r="AF290" s="233"/>
      <c r="AG290" s="233"/>
      <c r="AH290" s="233"/>
      <c r="AI290" s="233"/>
      <c r="AJ290" s="233"/>
      <c r="AK290" s="233"/>
      <c r="AL290" s="228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</row>
    <row r="291" ht="18.0" customHeight="1">
      <c r="A291" s="218"/>
      <c r="B291" s="219">
        <v>45359.0</v>
      </c>
      <c r="C291" s="176" t="s">
        <v>91</v>
      </c>
      <c r="D291" s="220" t="s">
        <v>84</v>
      </c>
      <c r="E291" s="176" t="s">
        <v>26</v>
      </c>
      <c r="F291" s="176" t="s">
        <v>27</v>
      </c>
      <c r="G291" s="221">
        <v>45401.0</v>
      </c>
      <c r="H291" s="179">
        <f>IFERROR(__xludf.DUMMYFUNCTION("GOOGLEFINANCE(D291,""price"")"),25.54)</f>
        <v>25.54</v>
      </c>
      <c r="I291" s="222">
        <v>47.0</v>
      </c>
      <c r="J291" s="223"/>
      <c r="K291" s="223"/>
      <c r="L291" s="181" t="str">
        <f t="shared" si="18"/>
        <v>Option Closed</v>
      </c>
      <c r="M291" s="212">
        <v>1.0</v>
      </c>
      <c r="N291" s="201">
        <v>1.5</v>
      </c>
      <c r="O291" s="183" t="s">
        <v>86</v>
      </c>
      <c r="P291" s="206"/>
      <c r="Q291" s="184"/>
      <c r="R291" s="185">
        <f t="shared" si="53"/>
        <v>0.15</v>
      </c>
      <c r="S291" s="186">
        <f t="shared" si="54"/>
        <v>150</v>
      </c>
      <c r="T291" s="187">
        <f t="shared" si="55"/>
        <v>0</v>
      </c>
      <c r="U291" s="188">
        <f t="shared" si="22"/>
        <v>150</v>
      </c>
      <c r="V291" s="189">
        <f t="shared" si="23"/>
        <v>0.03191489362</v>
      </c>
      <c r="W291" s="190" t="str">
        <f t="shared" si="38"/>
        <v/>
      </c>
      <c r="X291" s="191" t="str">
        <f t="shared" si="56"/>
        <v>#VALUE!</v>
      </c>
      <c r="Y291" s="189" t="str">
        <f t="shared" si="57"/>
        <v>#REF!</v>
      </c>
      <c r="Z291" s="191" t="str">
        <f t="shared" si="8"/>
        <v/>
      </c>
      <c r="AA291" s="191">
        <f t="shared" si="9"/>
        <v>42</v>
      </c>
      <c r="AB291" s="191" t="str">
        <f t="shared" si="58"/>
        <v>#VALUE!</v>
      </c>
      <c r="AC291" s="189" t="str">
        <f t="shared" si="59"/>
        <v>#REF!</v>
      </c>
      <c r="AD291" s="191" t="str">
        <f t="shared" si="60"/>
        <v/>
      </c>
      <c r="AE291" s="191">
        <f t="shared" si="61"/>
        <v>734</v>
      </c>
      <c r="AF291" s="233"/>
      <c r="AG291" s="233"/>
      <c r="AH291" s="233"/>
      <c r="AI291" s="233"/>
      <c r="AJ291" s="233"/>
      <c r="AK291" s="233"/>
      <c r="AL291" s="228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</row>
    <row r="292" ht="18.0" customHeight="1">
      <c r="A292" s="218"/>
      <c r="B292" s="219">
        <v>45361.0</v>
      </c>
      <c r="C292" s="176" t="s">
        <v>105</v>
      </c>
      <c r="D292" s="220" t="s">
        <v>78</v>
      </c>
      <c r="E292" s="176" t="s">
        <v>26</v>
      </c>
      <c r="F292" s="176" t="s">
        <v>27</v>
      </c>
      <c r="G292" s="221">
        <v>45401.0</v>
      </c>
      <c r="H292" s="179">
        <f>IFERROR(__xludf.DUMMYFUNCTION("GOOGLEFINANCE(D292,""price"")"),720.66)</f>
        <v>720.66</v>
      </c>
      <c r="I292" s="222">
        <v>500.0</v>
      </c>
      <c r="J292" s="223"/>
      <c r="K292" s="223"/>
      <c r="L292" s="181" t="str">
        <f t="shared" si="18"/>
        <v>Option Closed</v>
      </c>
      <c r="M292" s="212">
        <v>1.0</v>
      </c>
      <c r="N292" s="201">
        <v>5.5</v>
      </c>
      <c r="O292" s="183" t="s">
        <v>98</v>
      </c>
      <c r="P292" s="206"/>
      <c r="Q292" s="184"/>
      <c r="R292" s="185">
        <f t="shared" si="53"/>
        <v>0.55</v>
      </c>
      <c r="S292" s="186">
        <f t="shared" si="54"/>
        <v>550</v>
      </c>
      <c r="T292" s="187">
        <f t="shared" si="55"/>
        <v>0</v>
      </c>
      <c r="U292" s="188">
        <f t="shared" si="22"/>
        <v>550</v>
      </c>
      <c r="V292" s="189">
        <f t="shared" si="23"/>
        <v>0.011</v>
      </c>
      <c r="W292" s="190" t="str">
        <f t="shared" si="38"/>
        <v/>
      </c>
      <c r="X292" s="191" t="str">
        <f t="shared" si="56"/>
        <v>#VALUE!</v>
      </c>
      <c r="Y292" s="189" t="str">
        <f t="shared" si="57"/>
        <v>#REF!</v>
      </c>
      <c r="Z292" s="191" t="str">
        <f t="shared" si="8"/>
        <v/>
      </c>
      <c r="AA292" s="191">
        <f t="shared" si="9"/>
        <v>40</v>
      </c>
      <c r="AB292" s="191" t="str">
        <f t="shared" si="58"/>
        <v>#VALUE!</v>
      </c>
      <c r="AC292" s="189" t="str">
        <f t="shared" si="59"/>
        <v>#REF!</v>
      </c>
      <c r="AD292" s="191" t="str">
        <f t="shared" si="60"/>
        <v/>
      </c>
      <c r="AE292" s="191">
        <f t="shared" si="61"/>
        <v>732</v>
      </c>
      <c r="AF292" s="233"/>
      <c r="AG292" s="233"/>
      <c r="AH292" s="233"/>
      <c r="AI292" s="233"/>
      <c r="AJ292" s="233"/>
      <c r="AK292" s="233"/>
      <c r="AL292" s="228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</row>
    <row r="293" ht="18.0" customHeight="1">
      <c r="A293" s="218"/>
      <c r="B293" s="219">
        <v>45366.0</v>
      </c>
      <c r="C293" s="176" t="s">
        <v>91</v>
      </c>
      <c r="D293" s="220" t="s">
        <v>88</v>
      </c>
      <c r="E293" s="176" t="s">
        <v>26</v>
      </c>
      <c r="F293" s="176" t="s">
        <v>27</v>
      </c>
      <c r="G293" s="221">
        <v>45555.0</v>
      </c>
      <c r="H293" s="179">
        <f>IFERROR(__xludf.DUMMYFUNCTION("GOOGLEFINANCE(D293,""price"")"),46.83)</f>
        <v>46.83</v>
      </c>
      <c r="I293" s="222">
        <v>52.0</v>
      </c>
      <c r="J293" s="223"/>
      <c r="K293" s="223"/>
      <c r="L293" s="181" t="str">
        <f t="shared" si="18"/>
        <v>Option Closed</v>
      </c>
      <c r="M293" s="212">
        <v>6.0</v>
      </c>
      <c r="N293" s="201">
        <v>0.0</v>
      </c>
      <c r="O293" s="183" t="s">
        <v>98</v>
      </c>
      <c r="P293" s="206">
        <v>45541.0</v>
      </c>
      <c r="Q293" s="184"/>
      <c r="R293" s="185">
        <f t="shared" si="53"/>
        <v>0</v>
      </c>
      <c r="S293" s="186">
        <f t="shared" si="54"/>
        <v>0</v>
      </c>
      <c r="T293" s="187">
        <f t="shared" si="55"/>
        <v>0</v>
      </c>
      <c r="U293" s="188">
        <f t="shared" si="22"/>
        <v>0</v>
      </c>
      <c r="V293" s="189">
        <f t="shared" si="23"/>
        <v>0</v>
      </c>
      <c r="W293" s="190" t="str">
        <f t="shared" si="38"/>
        <v/>
      </c>
      <c r="X293" s="191" t="str">
        <f t="shared" si="56"/>
        <v>#VALUE!</v>
      </c>
      <c r="Y293" s="189" t="str">
        <f t="shared" si="57"/>
        <v>#REF!</v>
      </c>
      <c r="Z293" s="191" t="str">
        <f t="shared" si="8"/>
        <v/>
      </c>
      <c r="AA293" s="191">
        <f t="shared" si="9"/>
        <v>175</v>
      </c>
      <c r="AB293" s="191" t="str">
        <f t="shared" si="58"/>
        <v>#VALUE!</v>
      </c>
      <c r="AC293" s="189" t="str">
        <f t="shared" si="59"/>
        <v>#REF!</v>
      </c>
      <c r="AD293" s="191" t="str">
        <f t="shared" si="60"/>
        <v/>
      </c>
      <c r="AE293" s="191">
        <f t="shared" si="61"/>
        <v>175</v>
      </c>
      <c r="AF293" s="233"/>
      <c r="AG293" s="233"/>
      <c r="AH293" s="233"/>
      <c r="AI293" s="233"/>
      <c r="AJ293" s="233"/>
      <c r="AK293" s="233"/>
      <c r="AL293" s="228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</row>
    <row r="294" ht="18.0" customHeight="1">
      <c r="A294" s="229"/>
      <c r="B294" s="219">
        <v>45457.0</v>
      </c>
      <c r="C294" s="176" t="s">
        <v>91</v>
      </c>
      <c r="D294" s="220" t="s">
        <v>78</v>
      </c>
      <c r="E294" s="176" t="s">
        <v>26</v>
      </c>
      <c r="F294" s="176" t="s">
        <v>27</v>
      </c>
      <c r="G294" s="221">
        <v>45492.0</v>
      </c>
      <c r="H294" s="179">
        <f>IFERROR(__xludf.DUMMYFUNCTION("GOOGLEFINANCE(D294,""price"")"),720.66)</f>
        <v>720.66</v>
      </c>
      <c r="I294" s="222">
        <v>625.0</v>
      </c>
      <c r="J294" s="223"/>
      <c r="K294" s="223"/>
      <c r="L294" s="181" t="str">
        <f t="shared" si="18"/>
        <v>Option Closed</v>
      </c>
      <c r="M294" s="212">
        <v>1.0</v>
      </c>
      <c r="N294" s="201">
        <v>2.0</v>
      </c>
      <c r="O294" s="183" t="s">
        <v>86</v>
      </c>
      <c r="P294" s="206"/>
      <c r="Q294" s="184"/>
      <c r="R294" s="185">
        <f t="shared" si="53"/>
        <v>0.2</v>
      </c>
      <c r="S294" s="186">
        <f t="shared" si="54"/>
        <v>200</v>
      </c>
      <c r="T294" s="187">
        <f t="shared" si="55"/>
        <v>0</v>
      </c>
      <c r="U294" s="188">
        <f t="shared" si="22"/>
        <v>200</v>
      </c>
      <c r="V294" s="189">
        <f t="shared" si="23"/>
        <v>0.0032</v>
      </c>
      <c r="W294" s="190" t="str">
        <f t="shared" si="38"/>
        <v/>
      </c>
      <c r="X294" s="191" t="str">
        <f t="shared" si="56"/>
        <v>#VALUE!</v>
      </c>
      <c r="Y294" s="189" t="str">
        <f t="shared" si="57"/>
        <v>#REF!</v>
      </c>
      <c r="Z294" s="191" t="str">
        <f t="shared" si="8"/>
        <v/>
      </c>
      <c r="AA294" s="191">
        <f t="shared" si="9"/>
        <v>35</v>
      </c>
      <c r="AB294" s="191" t="str">
        <f t="shared" si="58"/>
        <v>#VALUE!</v>
      </c>
      <c r="AC294" s="189" t="str">
        <f t="shared" si="59"/>
        <v>#REF!</v>
      </c>
      <c r="AD294" s="191" t="str">
        <f t="shared" si="60"/>
        <v/>
      </c>
      <c r="AE294" s="191">
        <f t="shared" si="61"/>
        <v>636</v>
      </c>
      <c r="AF294" s="233"/>
      <c r="AG294" s="233"/>
      <c r="AH294" s="233"/>
      <c r="AI294" s="233"/>
      <c r="AJ294" s="233"/>
      <c r="AK294" s="233"/>
      <c r="AL294" s="234"/>
      <c r="AM294" s="235"/>
      <c r="AN294" s="235"/>
      <c r="AO294" s="235"/>
      <c r="AP294" s="235"/>
      <c r="AQ294" s="235"/>
      <c r="AR294" s="235"/>
      <c r="AS294" s="235"/>
      <c r="AT294" s="235"/>
      <c r="AU294" s="235"/>
      <c r="AV294" s="235"/>
      <c r="AW294" s="235"/>
      <c r="AX294" s="235"/>
      <c r="AY294" s="235"/>
      <c r="AZ294" s="235"/>
      <c r="BA294" s="235"/>
    </row>
    <row r="295" ht="18.0" customHeight="1">
      <c r="A295" s="229"/>
      <c r="B295" s="219">
        <v>45458.0</v>
      </c>
      <c r="C295" s="176" t="s">
        <v>91</v>
      </c>
      <c r="D295" s="220" t="s">
        <v>99</v>
      </c>
      <c r="E295" s="176" t="s">
        <v>26</v>
      </c>
      <c r="F295" s="176" t="s">
        <v>27</v>
      </c>
      <c r="G295" s="221">
        <v>45520.0</v>
      </c>
      <c r="H295" s="179">
        <f>IFERROR(__xludf.DUMMYFUNCTION("GOOGLEFINANCE(D295,""price"")"),365.93)</f>
        <v>365.93</v>
      </c>
      <c r="I295" s="222">
        <v>315.0</v>
      </c>
      <c r="J295" s="223"/>
      <c r="K295" s="223"/>
      <c r="L295" s="181" t="str">
        <f t="shared" si="18"/>
        <v>Option Closed</v>
      </c>
      <c r="M295" s="212">
        <v>3.0</v>
      </c>
      <c r="N295" s="201">
        <v>0.0</v>
      </c>
      <c r="O295" s="183" t="s">
        <v>86</v>
      </c>
      <c r="P295" s="206"/>
      <c r="Q295" s="184"/>
      <c r="R295" s="185">
        <f t="shared" si="53"/>
        <v>0</v>
      </c>
      <c r="S295" s="186">
        <f t="shared" si="54"/>
        <v>0</v>
      </c>
      <c r="T295" s="187">
        <f t="shared" si="55"/>
        <v>0</v>
      </c>
      <c r="U295" s="188">
        <f t="shared" si="22"/>
        <v>0</v>
      </c>
      <c r="V295" s="189">
        <f t="shared" si="23"/>
        <v>0</v>
      </c>
      <c r="W295" s="190" t="str">
        <f t="shared" si="38"/>
        <v/>
      </c>
      <c r="X295" s="191" t="str">
        <f t="shared" si="56"/>
        <v>#VALUE!</v>
      </c>
      <c r="Y295" s="189" t="str">
        <f t="shared" si="57"/>
        <v>#REF!</v>
      </c>
      <c r="Z295" s="191" t="str">
        <f t="shared" si="8"/>
        <v/>
      </c>
      <c r="AA295" s="191">
        <f t="shared" si="9"/>
        <v>62</v>
      </c>
      <c r="AB295" s="191" t="str">
        <f t="shared" si="58"/>
        <v>#VALUE!</v>
      </c>
      <c r="AC295" s="189" t="str">
        <f t="shared" si="59"/>
        <v>#REF!</v>
      </c>
      <c r="AD295" s="191" t="str">
        <f t="shared" si="60"/>
        <v/>
      </c>
      <c r="AE295" s="191">
        <f t="shared" si="61"/>
        <v>635</v>
      </c>
      <c r="AF295" s="233"/>
      <c r="AG295" s="233"/>
      <c r="AH295" s="233"/>
      <c r="AI295" s="233"/>
      <c r="AJ295" s="233"/>
      <c r="AK295" s="233"/>
      <c r="AL295" s="234"/>
      <c r="AM295" s="235"/>
      <c r="AN295" s="235"/>
      <c r="AO295" s="235"/>
      <c r="AP295" s="235"/>
      <c r="AQ295" s="235"/>
      <c r="AR295" s="235"/>
      <c r="AS295" s="235"/>
      <c r="AT295" s="235"/>
      <c r="AU295" s="235"/>
      <c r="AV295" s="235"/>
      <c r="AW295" s="235"/>
      <c r="AX295" s="235"/>
      <c r="AY295" s="235"/>
      <c r="AZ295" s="235"/>
      <c r="BA295" s="235"/>
    </row>
    <row r="296" ht="18.0" customHeight="1">
      <c r="A296" s="229"/>
      <c r="B296" s="219">
        <v>45458.0</v>
      </c>
      <c r="C296" s="176" t="s">
        <v>91</v>
      </c>
      <c r="D296" s="220" t="s">
        <v>111</v>
      </c>
      <c r="E296" s="176" t="s">
        <v>26</v>
      </c>
      <c r="F296" s="176" t="s">
        <v>27</v>
      </c>
      <c r="G296" s="221">
        <v>45672.0</v>
      </c>
      <c r="H296" s="179">
        <f>IFERROR(__xludf.DUMMYFUNCTION("GOOGLEFINANCE(D296,""price"")"),327.92)</f>
        <v>327.92</v>
      </c>
      <c r="I296" s="222">
        <v>245.0</v>
      </c>
      <c r="J296" s="223"/>
      <c r="K296" s="223"/>
      <c r="L296" s="181">
        <f t="shared" si="18"/>
        <v>-0.3384489796</v>
      </c>
      <c r="M296" s="212">
        <v>10.0</v>
      </c>
      <c r="N296" s="201">
        <v>0.0</v>
      </c>
      <c r="O296" s="183" t="s">
        <v>28</v>
      </c>
      <c r="P296" s="206"/>
      <c r="Q296" s="184"/>
      <c r="R296" s="185">
        <f t="shared" si="53"/>
        <v>0</v>
      </c>
      <c r="S296" s="186">
        <f t="shared" si="54"/>
        <v>0</v>
      </c>
      <c r="T296" s="187">
        <f t="shared" si="55"/>
        <v>0</v>
      </c>
      <c r="U296" s="188">
        <f t="shared" si="22"/>
        <v>0</v>
      </c>
      <c r="V296" s="189">
        <f t="shared" si="23"/>
        <v>0</v>
      </c>
      <c r="W296" s="190" t="str">
        <f t="shared" si="38"/>
        <v/>
      </c>
      <c r="X296" s="191" t="str">
        <f t="shared" si="56"/>
        <v>#VALUE!</v>
      </c>
      <c r="Y296" s="189" t="str">
        <f t="shared" si="57"/>
        <v>#REF!</v>
      </c>
      <c r="Z296" s="191" t="str">
        <f t="shared" si="8"/>
        <v/>
      </c>
      <c r="AA296" s="191">
        <f t="shared" si="9"/>
        <v>214</v>
      </c>
      <c r="AB296" s="191" t="str">
        <f t="shared" si="58"/>
        <v>#VALUE!</v>
      </c>
      <c r="AC296" s="189" t="str">
        <f t="shared" si="59"/>
        <v>#REF!</v>
      </c>
      <c r="AD296" s="191" t="str">
        <f t="shared" si="60"/>
        <v/>
      </c>
      <c r="AE296" s="191">
        <f t="shared" si="61"/>
        <v>635</v>
      </c>
      <c r="AF296" s="233"/>
      <c r="AG296" s="233"/>
      <c r="AH296" s="233"/>
      <c r="AI296" s="233"/>
      <c r="AJ296" s="233"/>
      <c r="AK296" s="233"/>
      <c r="AL296" s="234"/>
      <c r="AM296" s="235"/>
      <c r="AN296" s="235"/>
      <c r="AO296" s="235"/>
      <c r="AP296" s="235"/>
      <c r="AQ296" s="235"/>
      <c r="AR296" s="235"/>
      <c r="AS296" s="235"/>
      <c r="AT296" s="235"/>
      <c r="AU296" s="235"/>
      <c r="AV296" s="235"/>
      <c r="AW296" s="235"/>
      <c r="AX296" s="235"/>
      <c r="AY296" s="235"/>
      <c r="AZ296" s="235"/>
      <c r="BA296" s="235"/>
    </row>
    <row r="297" ht="18.0" customHeight="1">
      <c r="A297" s="229"/>
      <c r="B297" s="219">
        <v>45481.0</v>
      </c>
      <c r="C297" s="176" t="s">
        <v>91</v>
      </c>
      <c r="D297" s="220" t="s">
        <v>112</v>
      </c>
      <c r="E297" s="176" t="s">
        <v>26</v>
      </c>
      <c r="F297" s="176" t="s">
        <v>27</v>
      </c>
      <c r="G297" s="221">
        <v>45520.0</v>
      </c>
      <c r="H297" s="179">
        <f>IFERROR(__xludf.DUMMYFUNCTION("GOOGLEFINANCE(D297,""price"")"),395.01)</f>
        <v>395.01</v>
      </c>
      <c r="I297" s="222">
        <v>300.0</v>
      </c>
      <c r="J297" s="223"/>
      <c r="K297" s="223"/>
      <c r="L297" s="181" t="str">
        <f t="shared" si="18"/>
        <v>Option Closed</v>
      </c>
      <c r="M297" s="212">
        <v>1.0</v>
      </c>
      <c r="N297" s="201">
        <v>13.5</v>
      </c>
      <c r="O297" s="183" t="s">
        <v>86</v>
      </c>
      <c r="P297" s="206"/>
      <c r="Q297" s="184"/>
      <c r="R297" s="185">
        <f t="shared" si="53"/>
        <v>1.35</v>
      </c>
      <c r="S297" s="186">
        <f t="shared" si="54"/>
        <v>1350</v>
      </c>
      <c r="T297" s="187">
        <f t="shared" si="55"/>
        <v>0</v>
      </c>
      <c r="U297" s="188">
        <f t="shared" si="22"/>
        <v>1350</v>
      </c>
      <c r="V297" s="189">
        <f t="shared" si="23"/>
        <v>0.045</v>
      </c>
      <c r="W297" s="190" t="str">
        <f t="shared" si="38"/>
        <v/>
      </c>
      <c r="X297" s="191" t="str">
        <f t="shared" si="56"/>
        <v>#VALUE!</v>
      </c>
      <c r="Y297" s="189" t="str">
        <f t="shared" si="57"/>
        <v>#REF!</v>
      </c>
      <c r="Z297" s="191" t="str">
        <f t="shared" si="8"/>
        <v/>
      </c>
      <c r="AA297" s="191">
        <f t="shared" si="9"/>
        <v>39</v>
      </c>
      <c r="AB297" s="191" t="str">
        <f t="shared" si="58"/>
        <v>#VALUE!</v>
      </c>
      <c r="AC297" s="189" t="str">
        <f t="shared" si="59"/>
        <v>#REF!</v>
      </c>
      <c r="AD297" s="191" t="str">
        <f t="shared" si="60"/>
        <v/>
      </c>
      <c r="AE297" s="191">
        <f t="shared" si="61"/>
        <v>612</v>
      </c>
      <c r="AF297" s="233"/>
      <c r="AG297" s="233"/>
      <c r="AH297" s="233"/>
      <c r="AI297" s="233"/>
      <c r="AJ297" s="233"/>
      <c r="AK297" s="233"/>
      <c r="AL297" s="234"/>
      <c r="AM297" s="235"/>
      <c r="AN297" s="235"/>
      <c r="AO297" s="235"/>
      <c r="AP297" s="235"/>
      <c r="AQ297" s="235"/>
      <c r="AR297" s="235"/>
      <c r="AS297" s="235"/>
      <c r="AT297" s="235"/>
      <c r="AU297" s="235"/>
      <c r="AV297" s="235"/>
      <c r="AW297" s="235"/>
      <c r="AX297" s="235"/>
      <c r="AY297" s="235"/>
      <c r="AZ297" s="235"/>
      <c r="BA297" s="235"/>
    </row>
    <row r="298" ht="18.0" customHeight="1">
      <c r="A298" s="218"/>
      <c r="B298" s="263">
        <v>45506.0</v>
      </c>
      <c r="C298" s="264" t="s">
        <v>91</v>
      </c>
      <c r="D298" s="265" t="s">
        <v>78</v>
      </c>
      <c r="E298" s="264" t="s">
        <v>26</v>
      </c>
      <c r="F298" s="264" t="s">
        <v>27</v>
      </c>
      <c r="G298" s="266">
        <v>45611.0</v>
      </c>
      <c r="H298" s="267">
        <f>IFERROR(__xludf.DUMMYFUNCTION("GOOGLEFINANCE(D298,""price"")"),720.66)</f>
        <v>720.66</v>
      </c>
      <c r="I298" s="268">
        <v>540.0</v>
      </c>
      <c r="J298" s="269"/>
      <c r="K298" s="269"/>
      <c r="L298" s="270" t="str">
        <f t="shared" si="18"/>
        <v>Option Closed</v>
      </c>
      <c r="M298" s="271">
        <v>2.0</v>
      </c>
      <c r="N298" s="272">
        <v>0.0</v>
      </c>
      <c r="O298" s="273" t="s">
        <v>98</v>
      </c>
      <c r="P298" s="274"/>
      <c r="Q298" s="275"/>
      <c r="R298" s="276">
        <f>if(N298="","",N298*(1-$T$2))</f>
        <v>0</v>
      </c>
      <c r="S298" s="277">
        <f>IF(B298="","",IF(AND(E298="Stock",F298="Buy"),(100*((M298*N298)*-1)),IF(AND(E298="Call",F298="Buy"),(100*((M298*N298)*-1)),IF(AND(E298="PUT",F298="Buy"),(100*((M298*N298)*-1)),100*(M298*N298)))))</f>
        <v>0</v>
      </c>
      <c r="T298" s="278">
        <f>IF(B298="","",IF(AND(E298="Stock",F298="Buy"),(100*((M298*Q298)*1)),IF(AND(E298="Call",F298="Buy"),(100*((M298*Q298)*1)),IF(AND(E298="PUT",F298="Buy"),(100*((M298*Q298)*1)),(100*(M298*Q298))*-1))))</f>
        <v>0</v>
      </c>
      <c r="U298" s="279">
        <f t="shared" si="22"/>
        <v>0</v>
      </c>
      <c r="V298" s="280">
        <f t="shared" si="23"/>
        <v>0</v>
      </c>
      <c r="W298" s="281" t="str">
        <f t="shared" si="38"/>
        <v/>
      </c>
      <c r="X298" s="282" t="str">
        <f>if(E298-today()&lt;0,"",E298-today())</f>
        <v>#VALUE!</v>
      </c>
      <c r="Y298" s="280" t="str">
        <f>IF(AND(#REF!="",N298=""),"",IF(N298="",TODAY()-#REF!,N298-#REF!))</f>
        <v>#REF!</v>
      </c>
      <c r="Z298" s="282" t="str">
        <f t="shared" si="8"/>
        <v/>
      </c>
      <c r="AA298" s="191">
        <f t="shared" si="9"/>
        <v>105</v>
      </c>
      <c r="AB298" s="282" t="str">
        <f>if(E298-today()&lt;0,"",E298-today())</f>
        <v>#VALUE!</v>
      </c>
      <c r="AC298" s="280" t="str">
        <f>IF(AND(#REF!="",N298=""),"",IF(N298="",TODAY()-#REF!,N298-#REF!))</f>
        <v>#REF!</v>
      </c>
      <c r="AD298" s="282" t="str">
        <f t="shared" si="60"/>
        <v/>
      </c>
      <c r="AE298" s="282">
        <f t="shared" si="61"/>
        <v>587</v>
      </c>
      <c r="AF298" s="283"/>
      <c r="AG298" s="283"/>
      <c r="AH298" s="283"/>
      <c r="AI298" s="283"/>
      <c r="AJ298" s="283"/>
      <c r="AK298" s="283"/>
      <c r="AL298" s="228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</row>
    <row r="299" ht="18.0" customHeight="1">
      <c r="A299" s="218"/>
      <c r="B299" s="263">
        <v>45506.0</v>
      </c>
      <c r="C299" s="264" t="s">
        <v>91</v>
      </c>
      <c r="D299" s="265" t="s">
        <v>78</v>
      </c>
      <c r="E299" s="264" t="s">
        <v>26</v>
      </c>
      <c r="F299" s="264" t="s">
        <v>27</v>
      </c>
      <c r="G299" s="266">
        <v>45611.0</v>
      </c>
      <c r="H299" s="267">
        <f>IFERROR(__xludf.DUMMYFUNCTION("GOOGLEFINANCE(D299,""price"")"),720.66)</f>
        <v>720.66</v>
      </c>
      <c r="I299" s="268">
        <v>515.0</v>
      </c>
      <c r="J299" s="269"/>
      <c r="K299" s="269"/>
      <c r="L299" s="270" t="str">
        <f t="shared" si="18"/>
        <v>Option Closed</v>
      </c>
      <c r="M299" s="271">
        <v>8.0</v>
      </c>
      <c r="N299" s="272">
        <v>0.0</v>
      </c>
      <c r="O299" s="273" t="s">
        <v>98</v>
      </c>
      <c r="P299" s="274"/>
      <c r="Q299" s="275"/>
      <c r="R299" s="276">
        <f t="shared" ref="R299:R302" si="62">if(N299="","",N299*(1-$T$2))</f>
        <v>0</v>
      </c>
      <c r="S299" s="277">
        <f t="shared" ref="S299:S302" si="63">IF(B299="","",IF(AND(E299="Stock",F299="Buy"),(100*((M299*N299)*-1)),IF(AND(E299="Call",F299="Buy"),(100*((M299*N299)*-1)),IF(AND(E299="PUT",F299="Buy"),(100*((M299*N299)*-1)),100*(M299*N299)))))</f>
        <v>0</v>
      </c>
      <c r="T299" s="278">
        <f t="shared" ref="T299:T302" si="64">IF(B299="","",IF(AND(E299="Stock",F299="Buy"),(100*((M299*Q299)*1)),IF(AND(E299="Call",F299="Buy"),(100*((M299*Q299)*1)),IF(AND(E299="PUT",F299="Buy"),(100*((M299*Q299)*1)),(100*(M299*Q299))*-1))))</f>
        <v>0</v>
      </c>
      <c r="U299" s="279">
        <f t="shared" si="22"/>
        <v>0</v>
      </c>
      <c r="V299" s="280">
        <f t="shared" si="23"/>
        <v>0</v>
      </c>
      <c r="W299" s="281" t="str">
        <f t="shared" si="38"/>
        <v/>
      </c>
      <c r="X299" s="282" t="str">
        <f t="shared" ref="X299:X302" si="65">if(E299-today()&lt;0,"",E299-today())</f>
        <v>#VALUE!</v>
      </c>
      <c r="Y299" s="280" t="str">
        <f t="shared" ref="Y299:Y302" si="66">IF(AND(#REF!="",N299=""),"",IF(N299="",TODAY()-#REF!,N299-#REF!))</f>
        <v>#REF!</v>
      </c>
      <c r="Z299" s="282" t="str">
        <f t="shared" si="8"/>
        <v/>
      </c>
      <c r="AA299" s="191">
        <f t="shared" si="9"/>
        <v>105</v>
      </c>
      <c r="AB299" s="282" t="str">
        <f t="shared" ref="AB299:AB302" si="67">if(E299-today()&lt;0,"",E299-today())</f>
        <v>#VALUE!</v>
      </c>
      <c r="AC299" s="280" t="str">
        <f t="shared" ref="AC299:AC302" si="68">IF(AND(#REF!="",N299=""),"",IF(N299="",TODAY()-#REF!,N299-#REF!))</f>
        <v>#REF!</v>
      </c>
      <c r="AD299" s="282" t="str">
        <f t="shared" si="60"/>
        <v/>
      </c>
      <c r="AE299" s="282">
        <f t="shared" si="61"/>
        <v>587</v>
      </c>
      <c r="AF299" s="283"/>
      <c r="AG299" s="283"/>
      <c r="AH299" s="283"/>
      <c r="AI299" s="283"/>
      <c r="AJ299" s="283"/>
      <c r="AK299" s="283"/>
      <c r="AL299" s="228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</row>
    <row r="300" ht="18.0" customHeight="1">
      <c r="A300" s="218"/>
      <c r="B300" s="263">
        <v>45511.0</v>
      </c>
      <c r="C300" s="176" t="s">
        <v>105</v>
      </c>
      <c r="D300" s="220" t="s">
        <v>78</v>
      </c>
      <c r="E300" s="176" t="s">
        <v>82</v>
      </c>
      <c r="F300" s="176" t="s">
        <v>27</v>
      </c>
      <c r="G300" s="221">
        <v>45555.0</v>
      </c>
      <c r="H300" s="179">
        <f>IFERROR(__xludf.DUMMYFUNCTION("GOOGLEFINANCE(D300,""price"")"),720.66)</f>
        <v>720.66</v>
      </c>
      <c r="I300" s="222">
        <v>505.0</v>
      </c>
      <c r="J300" s="223"/>
      <c r="K300" s="223"/>
      <c r="L300" s="181" t="str">
        <f t="shared" si="18"/>
        <v>Option Closed</v>
      </c>
      <c r="M300" s="212">
        <v>1.0</v>
      </c>
      <c r="N300" s="201">
        <v>13.2</v>
      </c>
      <c r="O300" s="183" t="s">
        <v>86</v>
      </c>
      <c r="P300" s="206"/>
      <c r="Q300" s="184"/>
      <c r="R300" s="185">
        <f t="shared" si="62"/>
        <v>1.32</v>
      </c>
      <c r="S300" s="186">
        <f t="shared" si="63"/>
        <v>1320</v>
      </c>
      <c r="T300" s="187">
        <f t="shared" si="64"/>
        <v>0</v>
      </c>
      <c r="U300" s="188">
        <f t="shared" si="22"/>
        <v>1320</v>
      </c>
      <c r="V300" s="189">
        <f t="shared" si="23"/>
        <v>0.02613861386</v>
      </c>
      <c r="W300" s="190" t="str">
        <f t="shared" si="38"/>
        <v/>
      </c>
      <c r="X300" s="191" t="str">
        <f t="shared" si="65"/>
        <v>#VALUE!</v>
      </c>
      <c r="Y300" s="189" t="str">
        <f t="shared" si="66"/>
        <v>#REF!</v>
      </c>
      <c r="Z300" s="191" t="str">
        <f t="shared" si="8"/>
        <v/>
      </c>
      <c r="AA300" s="191">
        <f t="shared" si="9"/>
        <v>44</v>
      </c>
      <c r="AB300" s="191" t="str">
        <f t="shared" si="67"/>
        <v>#VALUE!</v>
      </c>
      <c r="AC300" s="189" t="str">
        <f t="shared" si="68"/>
        <v>#REF!</v>
      </c>
      <c r="AD300" s="191" t="str">
        <f t="shared" si="60"/>
        <v/>
      </c>
      <c r="AE300" s="191">
        <f t="shared" si="61"/>
        <v>582</v>
      </c>
      <c r="AF300" s="233"/>
      <c r="AG300" s="233"/>
      <c r="AH300" s="233"/>
      <c r="AI300" s="233"/>
      <c r="AJ300" s="233"/>
      <c r="AK300" s="233"/>
      <c r="AL300" s="228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</row>
    <row r="301" ht="18.0" customHeight="1">
      <c r="A301" s="218"/>
      <c r="B301" s="263">
        <v>45504.0</v>
      </c>
      <c r="C301" s="176" t="s">
        <v>105</v>
      </c>
      <c r="D301" s="220" t="s">
        <v>78</v>
      </c>
      <c r="E301" s="176" t="s">
        <v>82</v>
      </c>
      <c r="F301" s="176" t="s">
        <v>27</v>
      </c>
      <c r="G301" s="221">
        <v>45520.0</v>
      </c>
      <c r="H301" s="179">
        <f>IFERROR(__xludf.DUMMYFUNCTION("GOOGLEFINANCE(D301,""price"")"),720.66)</f>
        <v>720.66</v>
      </c>
      <c r="I301" s="222">
        <v>560.0</v>
      </c>
      <c r="J301" s="223"/>
      <c r="K301" s="223"/>
      <c r="L301" s="181" t="str">
        <f t="shared" si="18"/>
        <v>Option Closed</v>
      </c>
      <c r="M301" s="212">
        <v>1.0</v>
      </c>
      <c r="N301" s="201">
        <v>11.0</v>
      </c>
      <c r="O301" s="183" t="s">
        <v>86</v>
      </c>
      <c r="P301" s="206"/>
      <c r="Q301" s="184"/>
      <c r="R301" s="185">
        <f t="shared" si="62"/>
        <v>1.1</v>
      </c>
      <c r="S301" s="186">
        <f t="shared" si="63"/>
        <v>1100</v>
      </c>
      <c r="T301" s="187">
        <f t="shared" si="64"/>
        <v>0</v>
      </c>
      <c r="U301" s="188">
        <f t="shared" si="22"/>
        <v>1100</v>
      </c>
      <c r="V301" s="189">
        <f t="shared" si="23"/>
        <v>0.01964285714</v>
      </c>
      <c r="W301" s="190" t="str">
        <f t="shared" si="38"/>
        <v/>
      </c>
      <c r="X301" s="191" t="str">
        <f t="shared" si="65"/>
        <v>#VALUE!</v>
      </c>
      <c r="Y301" s="189" t="str">
        <f t="shared" si="66"/>
        <v>#REF!</v>
      </c>
      <c r="Z301" s="191" t="str">
        <f t="shared" si="8"/>
        <v/>
      </c>
      <c r="AA301" s="191">
        <f t="shared" si="9"/>
        <v>16</v>
      </c>
      <c r="AB301" s="191" t="str">
        <f t="shared" si="67"/>
        <v>#VALUE!</v>
      </c>
      <c r="AC301" s="189" t="str">
        <f t="shared" si="68"/>
        <v>#REF!</v>
      </c>
      <c r="AD301" s="191" t="str">
        <f t="shared" si="60"/>
        <v/>
      </c>
      <c r="AE301" s="191">
        <f t="shared" si="61"/>
        <v>589</v>
      </c>
      <c r="AF301" s="233"/>
      <c r="AG301" s="233"/>
      <c r="AH301" s="233"/>
      <c r="AI301" s="233"/>
      <c r="AJ301" s="233"/>
      <c r="AK301" s="233"/>
      <c r="AL301" s="228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</row>
    <row r="302" ht="18.0" customHeight="1">
      <c r="A302" s="218"/>
      <c r="B302" s="219">
        <v>45523.0</v>
      </c>
      <c r="C302" s="176" t="s">
        <v>91</v>
      </c>
      <c r="D302" s="220" t="s">
        <v>99</v>
      </c>
      <c r="E302" s="176" t="s">
        <v>26</v>
      </c>
      <c r="F302" s="176" t="s">
        <v>27</v>
      </c>
      <c r="G302" s="221">
        <v>45583.0</v>
      </c>
      <c r="H302" s="179">
        <f>IFERROR(__xludf.DUMMYFUNCTION("GOOGLEFINANCE(D302,""price"")"),365.93)</f>
        <v>365.93</v>
      </c>
      <c r="I302" s="222">
        <v>335.0</v>
      </c>
      <c r="J302" s="223"/>
      <c r="K302" s="223"/>
      <c r="L302" s="181" t="str">
        <f t="shared" si="18"/>
        <v>Option Closed</v>
      </c>
      <c r="M302" s="212">
        <v>3.0</v>
      </c>
      <c r="N302" s="201">
        <v>2.4</v>
      </c>
      <c r="O302" s="183" t="s">
        <v>98</v>
      </c>
      <c r="P302" s="206"/>
      <c r="Q302" s="184"/>
      <c r="R302" s="185">
        <f t="shared" si="62"/>
        <v>0.24</v>
      </c>
      <c r="S302" s="186">
        <f t="shared" si="63"/>
        <v>720</v>
      </c>
      <c r="T302" s="187">
        <f t="shared" si="64"/>
        <v>0</v>
      </c>
      <c r="U302" s="188">
        <f t="shared" si="22"/>
        <v>720</v>
      </c>
      <c r="V302" s="189">
        <f t="shared" si="23"/>
        <v>0.007164179104</v>
      </c>
      <c r="W302" s="190" t="str">
        <f t="shared" si="38"/>
        <v/>
      </c>
      <c r="X302" s="191" t="str">
        <f t="shared" si="65"/>
        <v>#VALUE!</v>
      </c>
      <c r="Y302" s="189" t="str">
        <f t="shared" si="66"/>
        <v>#REF!</v>
      </c>
      <c r="Z302" s="191" t="str">
        <f t="shared" si="8"/>
        <v/>
      </c>
      <c r="AA302" s="191">
        <f t="shared" si="9"/>
        <v>60</v>
      </c>
      <c r="AB302" s="191" t="str">
        <f t="shared" si="67"/>
        <v>#VALUE!</v>
      </c>
      <c r="AC302" s="189" t="str">
        <f t="shared" si="68"/>
        <v>#REF!</v>
      </c>
      <c r="AD302" s="191" t="str">
        <f t="shared" si="60"/>
        <v/>
      </c>
      <c r="AE302" s="191">
        <f t="shared" si="61"/>
        <v>570</v>
      </c>
      <c r="AF302" s="233"/>
      <c r="AG302" s="233"/>
      <c r="AH302" s="233"/>
      <c r="AI302" s="233"/>
      <c r="AJ302" s="233"/>
      <c r="AK302" s="233"/>
      <c r="AL302" s="228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</row>
    <row r="303" ht="18.0" customHeight="1">
      <c r="A303" s="218"/>
      <c r="B303" s="284">
        <v>45527.0</v>
      </c>
      <c r="C303" s="264" t="s">
        <v>105</v>
      </c>
      <c r="D303" s="265" t="s">
        <v>78</v>
      </c>
      <c r="E303" s="264" t="s">
        <v>82</v>
      </c>
      <c r="F303" s="264" t="s">
        <v>27</v>
      </c>
      <c r="G303" s="285">
        <v>45555.0</v>
      </c>
      <c r="H303" s="267">
        <f>IFERROR(__xludf.DUMMYFUNCTION("GOOGLEFINANCE(D303,""price"")"),720.66)</f>
        <v>720.66</v>
      </c>
      <c r="I303" s="268">
        <v>555.0</v>
      </c>
      <c r="J303" s="269"/>
      <c r="K303" s="269"/>
      <c r="L303" s="286" t="str">
        <f t="shared" si="18"/>
        <v>Option Closed</v>
      </c>
      <c r="M303" s="271">
        <v>1.0</v>
      </c>
      <c r="N303" s="287">
        <v>5.5</v>
      </c>
      <c r="O303" s="273" t="s">
        <v>86</v>
      </c>
      <c r="P303" s="274"/>
      <c r="Q303" s="275"/>
      <c r="R303" s="276">
        <f>if(N303="","",N303*(1-$T$2))</f>
        <v>0.55</v>
      </c>
      <c r="S303" s="277">
        <f>IF(B303="","",IF(AND(E303="Stock",F303="Buy"),(100*((M303*N303)*-1)),IF(AND(E303="Call",F303="Buy"),(100*((M303*N303)*-1)),IF(AND(E303="PUT",F303="Buy"),(100*((M303*N303)*-1)),100*(M303*N303)))))</f>
        <v>550</v>
      </c>
      <c r="T303" s="278">
        <f>IF(B303="","",IF(AND(E303="Stock",F303="Buy"),(100*((M303*Q303)*1)),IF(AND(E303="Call",F303="Buy"),(100*((M303*Q303)*1)),IF(AND(E303="PUT",F303="Buy"),(100*((M303*Q303)*1)),(100*(M303*Q303))*-1))))</f>
        <v>0</v>
      </c>
      <c r="U303" s="279">
        <f t="shared" si="22"/>
        <v>550</v>
      </c>
      <c r="V303" s="280">
        <f t="shared" si="23"/>
        <v>0.00990990991</v>
      </c>
      <c r="W303" s="281" t="str">
        <f t="shared" si="38"/>
        <v/>
      </c>
      <c r="X303" s="282" t="str">
        <f>if(E303-today()&lt;0,"",E303-today())</f>
        <v>#VALUE!</v>
      </c>
      <c r="Y303" s="280" t="str">
        <f>IF(AND(#REF!="",N303=""),"",IF(N303="",TODAY()-#REF!,N303-#REF!))</f>
        <v>#REF!</v>
      </c>
      <c r="Z303" s="288" t="str">
        <f t="shared" si="8"/>
        <v/>
      </c>
      <c r="AA303" s="282">
        <f t="shared" si="9"/>
        <v>28</v>
      </c>
      <c r="AB303" s="282" t="str">
        <f>if(E303-today()&lt;0,"",E303-today())</f>
        <v>#VALUE!</v>
      </c>
      <c r="AC303" s="280" t="str">
        <f>IF(AND(#REF!="",N303=""),"",IF(N303="",TODAY()-#REF!,N303-#REF!))</f>
        <v>#REF!</v>
      </c>
      <c r="AD303" s="282" t="str">
        <f t="shared" si="60"/>
        <v/>
      </c>
      <c r="AE303" s="282">
        <f t="shared" si="61"/>
        <v>566</v>
      </c>
      <c r="AF303" s="283"/>
      <c r="AG303" s="283"/>
      <c r="AH303" s="283"/>
      <c r="AI303" s="283"/>
      <c r="AJ303" s="283"/>
      <c r="AK303" s="283"/>
      <c r="AL303" s="228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</row>
    <row r="304" ht="18.0" customHeight="1">
      <c r="A304" s="229"/>
      <c r="B304" s="219">
        <v>45527.0</v>
      </c>
      <c r="C304" s="176" t="s">
        <v>91</v>
      </c>
      <c r="D304" s="220" t="s">
        <v>112</v>
      </c>
      <c r="E304" s="176" t="s">
        <v>26</v>
      </c>
      <c r="F304" s="176" t="s">
        <v>27</v>
      </c>
      <c r="G304" s="221">
        <v>45555.0</v>
      </c>
      <c r="H304" s="179">
        <f>IFERROR(__xludf.DUMMYFUNCTION("GOOGLEFINANCE(D304,""price"")"),395.01)</f>
        <v>395.01</v>
      </c>
      <c r="I304" s="222">
        <v>250.0</v>
      </c>
      <c r="J304" s="223"/>
      <c r="K304" s="223"/>
      <c r="L304" s="181" t="str">
        <f t="shared" si="18"/>
        <v>Option Closed</v>
      </c>
      <c r="M304" s="212">
        <v>1.0</v>
      </c>
      <c r="N304" s="201">
        <v>3.0</v>
      </c>
      <c r="O304" s="183" t="s">
        <v>86</v>
      </c>
      <c r="P304" s="206"/>
      <c r="Q304" s="184"/>
      <c r="R304" s="185">
        <f t="shared" ref="R304:R305" si="69">if(N304="","",N304*(1-$T$2))</f>
        <v>0.3</v>
      </c>
      <c r="S304" s="186">
        <f t="shared" ref="S304:S305" si="70">IF(B304="","",IF(AND(E304="Stock",F304="Buy"),(100*((M304*N304)*-1)),IF(AND(E304="Call",F304="Buy"),(100*((M304*N304)*-1)),IF(AND(E304="PUT",F304="Buy"),(100*((M304*N304)*-1)),100*(M304*N304)))))</f>
        <v>300</v>
      </c>
      <c r="T304" s="187">
        <f t="shared" ref="T304:T305" si="71">IF(B304="","",IF(AND(E304="Stock",F304="Buy"),(100*((M304*Q304)*1)),IF(AND(E304="Call",F304="Buy"),(100*((M304*Q304)*1)),IF(AND(E304="PUT",F304="Buy"),(100*((M304*Q304)*1)),(100*(M304*Q304))*-1))))</f>
        <v>0</v>
      </c>
      <c r="U304" s="188">
        <f t="shared" si="22"/>
        <v>300</v>
      </c>
      <c r="V304" s="189">
        <f t="shared" si="23"/>
        <v>0.012</v>
      </c>
      <c r="W304" s="190" t="str">
        <f t="shared" si="38"/>
        <v/>
      </c>
      <c r="X304" s="191" t="str">
        <f t="shared" ref="X304:X305" si="72">if(E304-today()&lt;0,"",E304-today())</f>
        <v>#VALUE!</v>
      </c>
      <c r="Y304" s="189" t="str">
        <f t="shared" ref="Y304:Y305" si="73">IF(AND(#REF!="",N304=""),"",IF(N304="",TODAY()-#REF!,N304-#REF!))</f>
        <v>#REF!</v>
      </c>
      <c r="Z304" s="191" t="str">
        <f t="shared" si="8"/>
        <v/>
      </c>
      <c r="AA304" s="191">
        <f t="shared" si="9"/>
        <v>28</v>
      </c>
      <c r="AB304" s="191" t="str">
        <f t="shared" ref="AB304:AB305" si="74">if(E304-today()&lt;0,"",E304-today())</f>
        <v>#VALUE!</v>
      </c>
      <c r="AC304" s="189" t="str">
        <f t="shared" ref="AC304:AC305" si="75">IF(AND(#REF!="",N304=""),"",IF(N304="",TODAY()-#REF!,N304-#REF!))</f>
        <v>#REF!</v>
      </c>
      <c r="AD304" s="191" t="str">
        <f t="shared" si="60"/>
        <v/>
      </c>
      <c r="AE304" s="191">
        <f t="shared" si="61"/>
        <v>566</v>
      </c>
      <c r="AF304" s="233"/>
      <c r="AG304" s="233"/>
      <c r="AH304" s="233"/>
      <c r="AI304" s="233"/>
      <c r="AJ304" s="233"/>
      <c r="AK304" s="233"/>
      <c r="AL304" s="234"/>
      <c r="AM304" s="235"/>
      <c r="AN304" s="235"/>
      <c r="AO304" s="235"/>
      <c r="AP304" s="235"/>
      <c r="AQ304" s="235"/>
      <c r="AR304" s="235"/>
      <c r="AS304" s="235"/>
      <c r="AT304" s="235"/>
      <c r="AU304" s="235"/>
      <c r="AV304" s="235"/>
      <c r="AW304" s="235"/>
      <c r="AX304" s="235"/>
      <c r="AY304" s="235"/>
      <c r="AZ304" s="235"/>
      <c r="BA304" s="235"/>
    </row>
    <row r="305" ht="18.0" customHeight="1">
      <c r="A305" s="218"/>
      <c r="B305" s="219">
        <v>45541.0</v>
      </c>
      <c r="C305" s="176" t="s">
        <v>91</v>
      </c>
      <c r="D305" s="220" t="s">
        <v>88</v>
      </c>
      <c r="E305" s="176" t="s">
        <v>26</v>
      </c>
      <c r="F305" s="176" t="s">
        <v>27</v>
      </c>
      <c r="G305" s="221">
        <v>45645.0</v>
      </c>
      <c r="H305" s="179">
        <f>IFERROR(__xludf.DUMMYFUNCTION("GOOGLEFINANCE(D305,""price"")"),46.83)</f>
        <v>46.83</v>
      </c>
      <c r="I305" s="222">
        <v>60.0</v>
      </c>
      <c r="J305" s="223"/>
      <c r="K305" s="223"/>
      <c r="L305" s="181" t="str">
        <f t="shared" si="18"/>
        <v>Option Closed</v>
      </c>
      <c r="M305" s="212">
        <v>6.0</v>
      </c>
      <c r="N305" s="201">
        <v>0.08</v>
      </c>
      <c r="O305" s="183" t="s">
        <v>98</v>
      </c>
      <c r="P305" s="206"/>
      <c r="Q305" s="184"/>
      <c r="R305" s="185">
        <f t="shared" si="69"/>
        <v>0.008</v>
      </c>
      <c r="S305" s="186">
        <f t="shared" si="70"/>
        <v>48</v>
      </c>
      <c r="T305" s="187">
        <f t="shared" si="71"/>
        <v>0</v>
      </c>
      <c r="U305" s="188">
        <f t="shared" si="22"/>
        <v>48</v>
      </c>
      <c r="V305" s="189">
        <f t="shared" si="23"/>
        <v>0.001333333333</v>
      </c>
      <c r="W305" s="190" t="str">
        <f t="shared" si="38"/>
        <v/>
      </c>
      <c r="X305" s="191" t="str">
        <f t="shared" si="72"/>
        <v>#VALUE!</v>
      </c>
      <c r="Y305" s="189" t="str">
        <f t="shared" si="73"/>
        <v>#REF!</v>
      </c>
      <c r="Z305" s="191" t="str">
        <f t="shared" si="8"/>
        <v/>
      </c>
      <c r="AA305" s="191">
        <f t="shared" si="9"/>
        <v>104</v>
      </c>
      <c r="AB305" s="191" t="str">
        <f t="shared" si="74"/>
        <v>#VALUE!</v>
      </c>
      <c r="AC305" s="189" t="str">
        <f t="shared" si="75"/>
        <v>#REF!</v>
      </c>
      <c r="AD305" s="191" t="str">
        <f t="shared" si="60"/>
        <v/>
      </c>
      <c r="AE305" s="191">
        <f t="shared" si="61"/>
        <v>552</v>
      </c>
      <c r="AF305" s="233"/>
      <c r="AG305" s="233"/>
      <c r="AH305" s="233"/>
      <c r="AI305" s="233"/>
      <c r="AJ305" s="233"/>
      <c r="AK305" s="233"/>
      <c r="AL305" s="228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</row>
    <row r="306" ht="18.0" customHeight="1">
      <c r="A306" s="218"/>
      <c r="B306" s="284">
        <v>45541.0</v>
      </c>
      <c r="C306" s="264" t="s">
        <v>105</v>
      </c>
      <c r="D306" s="289" t="s">
        <v>114</v>
      </c>
      <c r="E306" s="264" t="s">
        <v>82</v>
      </c>
      <c r="F306" s="264" t="s">
        <v>27</v>
      </c>
      <c r="G306" s="285">
        <v>45555.0</v>
      </c>
      <c r="H306" s="267">
        <f>IFERROR(__xludf.DUMMYFUNCTION("GOOGLEFINANCE(D306,""price"")"),330.17)</f>
        <v>330.17</v>
      </c>
      <c r="I306" s="268">
        <v>200.0</v>
      </c>
      <c r="J306" s="269"/>
      <c r="K306" s="269"/>
      <c r="L306" s="286" t="str">
        <f t="shared" si="18"/>
        <v>Option Closed</v>
      </c>
      <c r="M306" s="290">
        <v>2.0</v>
      </c>
      <c r="N306" s="287">
        <v>5.5</v>
      </c>
      <c r="O306" s="273" t="s">
        <v>86</v>
      </c>
      <c r="P306" s="274"/>
      <c r="Q306" s="275"/>
      <c r="R306" s="276">
        <f>if(N306="","",N306*(1-$T$2))</f>
        <v>0.55</v>
      </c>
      <c r="S306" s="277">
        <f>IF(B306="","",IF(AND(E306="Stock",F306="Buy"),(100*((M306*N306)*-1)),IF(AND(E306="Call",F306="Buy"),(100*((M306*N306)*-1)),IF(AND(E306="PUT",F306="Buy"),(100*((M306*N306)*-1)),100*(M306*N306)))))</f>
        <v>1100</v>
      </c>
      <c r="T306" s="278">
        <f>IF(B306="","",IF(AND(E306="Stock",F306="Buy"),(100*((M306*Q306)*1)),IF(AND(E306="Call",F306="Buy"),(100*((M306*Q306)*1)),IF(AND(E306="PUT",F306="Buy"),(100*((M306*Q306)*1)),(100*(M306*Q306))*-1))))</f>
        <v>0</v>
      </c>
      <c r="U306" s="279">
        <f t="shared" si="22"/>
        <v>1100</v>
      </c>
      <c r="V306" s="280">
        <f t="shared" si="23"/>
        <v>0.0275</v>
      </c>
      <c r="W306" s="281" t="str">
        <f t="shared" si="38"/>
        <v/>
      </c>
      <c r="X306" s="282" t="str">
        <f>if(E306-today()&lt;0,"",E306-today())</f>
        <v>#VALUE!</v>
      </c>
      <c r="Y306" s="280" t="str">
        <f>IF(AND(#REF!="",N306=""),"",IF(N306="",TODAY()-#REF!,N306-#REF!))</f>
        <v>#REF!</v>
      </c>
      <c r="Z306" s="288" t="str">
        <f t="shared" si="8"/>
        <v/>
      </c>
      <c r="AA306" s="282">
        <f t="shared" si="9"/>
        <v>14</v>
      </c>
      <c r="AB306" s="282" t="str">
        <f>if(E306-today()&lt;0,"",E306-today())</f>
        <v>#VALUE!</v>
      </c>
      <c r="AC306" s="280" t="str">
        <f>IF(AND(#REF!="",N306=""),"",IF(N306="",TODAY()-#REF!,N306-#REF!))</f>
        <v>#REF!</v>
      </c>
      <c r="AD306" s="282" t="str">
        <f t="shared" si="60"/>
        <v/>
      </c>
      <c r="AE306" s="282">
        <f t="shared" si="61"/>
        <v>552</v>
      </c>
      <c r="AF306" s="283"/>
      <c r="AG306" s="283"/>
      <c r="AH306" s="283"/>
      <c r="AI306" s="283"/>
      <c r="AJ306" s="283"/>
      <c r="AK306" s="283"/>
      <c r="AL306" s="228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</row>
    <row r="307" ht="18.0" customHeight="1">
      <c r="A307" s="229"/>
      <c r="B307" s="219">
        <v>45558.0</v>
      </c>
      <c r="C307" s="176" t="s">
        <v>91</v>
      </c>
      <c r="D307" s="220" t="s">
        <v>112</v>
      </c>
      <c r="E307" s="176" t="s">
        <v>26</v>
      </c>
      <c r="F307" s="176" t="s">
        <v>27</v>
      </c>
      <c r="G307" s="221">
        <v>45576.0</v>
      </c>
      <c r="H307" s="179">
        <f>IFERROR(__xludf.DUMMYFUNCTION("GOOGLEFINANCE(D307,""price"")"),395.01)</f>
        <v>395.01</v>
      </c>
      <c r="I307" s="222">
        <v>265.0</v>
      </c>
      <c r="J307" s="223"/>
      <c r="K307" s="223"/>
      <c r="L307" s="181" t="str">
        <f t="shared" si="18"/>
        <v>Option Closed</v>
      </c>
      <c r="M307" s="212">
        <v>1.0</v>
      </c>
      <c r="N307" s="201">
        <v>8.0</v>
      </c>
      <c r="O307" s="183" t="s">
        <v>86</v>
      </c>
      <c r="P307" s="206"/>
      <c r="Q307" s="184"/>
      <c r="R307" s="185">
        <f>if(N307="","",N307*(1-$T$2))</f>
        <v>0.8</v>
      </c>
      <c r="S307" s="186">
        <f>IF(B307="","",IF(AND(E307="Stock",F307="Buy"),(100*((M307*N307)*-1)),IF(AND(E307="Call",F307="Buy"),(100*((M307*N307)*-1)),IF(AND(E307="PUT",F307="Buy"),(100*((M307*N307)*-1)),100*(M307*N307)))))</f>
        <v>800</v>
      </c>
      <c r="T307" s="187">
        <f>IF(B307="","",IF(AND(E307="Stock",F307="Buy"),(100*((M307*Q307)*1)),IF(AND(E307="Call",F307="Buy"),(100*((M307*Q307)*1)),IF(AND(E307="PUT",F307="Buy"),(100*((M307*Q307)*1)),(100*(M307*Q307))*-1))))</f>
        <v>0</v>
      </c>
      <c r="U307" s="188">
        <f t="shared" si="22"/>
        <v>800</v>
      </c>
      <c r="V307" s="189">
        <f t="shared" si="23"/>
        <v>0.03018867925</v>
      </c>
      <c r="W307" s="190" t="str">
        <f t="shared" si="38"/>
        <v/>
      </c>
      <c r="X307" s="191" t="str">
        <f>if(E307-today()&lt;0,"",E307-today())</f>
        <v>#VALUE!</v>
      </c>
      <c r="Y307" s="189" t="str">
        <f>IF(AND(#REF!="",N307=""),"",IF(N307="",TODAY()-#REF!,N307-#REF!))</f>
        <v>#REF!</v>
      </c>
      <c r="Z307" s="191" t="str">
        <f t="shared" si="8"/>
        <v/>
      </c>
      <c r="AA307" s="191">
        <f t="shared" si="9"/>
        <v>18</v>
      </c>
      <c r="AB307" s="191" t="str">
        <f>if(E307-today()&lt;0,"",E307-today())</f>
        <v>#VALUE!</v>
      </c>
      <c r="AC307" s="189" t="str">
        <f>IF(AND(#REF!="",N307=""),"",IF(N307="",TODAY()-#REF!,N307-#REF!))</f>
        <v>#REF!</v>
      </c>
      <c r="AD307" s="191" t="str">
        <f t="shared" si="60"/>
        <v/>
      </c>
      <c r="AE307" s="191">
        <f t="shared" si="61"/>
        <v>535</v>
      </c>
      <c r="AF307" s="233"/>
      <c r="AG307" s="233"/>
      <c r="AH307" s="233"/>
      <c r="AI307" s="233"/>
      <c r="AJ307" s="233"/>
      <c r="AK307" s="233"/>
      <c r="AL307" s="234"/>
      <c r="AM307" s="235"/>
      <c r="AN307" s="235"/>
      <c r="AO307" s="235"/>
      <c r="AP307" s="235"/>
      <c r="AQ307" s="235"/>
      <c r="AR307" s="235"/>
      <c r="AS307" s="235"/>
      <c r="AT307" s="235"/>
      <c r="AU307" s="235"/>
      <c r="AV307" s="235"/>
      <c r="AW307" s="235"/>
      <c r="AX307" s="235"/>
      <c r="AY307" s="235"/>
      <c r="AZ307" s="235"/>
      <c r="BA307" s="235"/>
    </row>
    <row r="308" ht="18.0" customHeight="1">
      <c r="A308" s="218"/>
      <c r="B308" s="284">
        <v>45565.0</v>
      </c>
      <c r="C308" s="264" t="s">
        <v>105</v>
      </c>
      <c r="D308" s="265" t="s">
        <v>78</v>
      </c>
      <c r="E308" s="264" t="s">
        <v>82</v>
      </c>
      <c r="F308" s="264" t="s">
        <v>27</v>
      </c>
      <c r="G308" s="266">
        <v>45583.0</v>
      </c>
      <c r="H308" s="267">
        <f>IFERROR(__xludf.DUMMYFUNCTION("GOOGLEFINANCE(D308,""price"")"),720.66)</f>
        <v>720.66</v>
      </c>
      <c r="I308" s="268">
        <v>570.0</v>
      </c>
      <c r="J308" s="269"/>
      <c r="K308" s="269"/>
      <c r="L308" s="286" t="str">
        <f t="shared" si="18"/>
        <v>Option Closed</v>
      </c>
      <c r="M308" s="271">
        <v>1.0</v>
      </c>
      <c r="N308" s="287">
        <v>6.5</v>
      </c>
      <c r="O308" s="273" t="s">
        <v>86</v>
      </c>
      <c r="P308" s="274"/>
      <c r="Q308" s="275"/>
      <c r="R308" s="276">
        <f>if(N308="","",N308*(1-$T$2))</f>
        <v>0.65</v>
      </c>
      <c r="S308" s="277">
        <f>IF(B308="","",IF(AND(E308="Stock",F308="Buy"),(100*((M308*N308)*-1)),IF(AND(E308="Call",F308="Buy"),(100*((M308*N308)*-1)),IF(AND(E308="PUT",F308="Buy"),(100*((M308*N308)*-1)),100*(M308*N308)))))</f>
        <v>650</v>
      </c>
      <c r="T308" s="278">
        <f>IF(B308="","",IF(AND(E308="Stock",F308="Buy"),(100*((M308*Q308)*1)),IF(AND(E308="Call",F308="Buy"),(100*((M308*Q308)*1)),IF(AND(E308="PUT",F308="Buy"),(100*((M308*Q308)*1)),(100*(M308*Q308))*-1))))</f>
        <v>0</v>
      </c>
      <c r="U308" s="279">
        <f t="shared" si="22"/>
        <v>650</v>
      </c>
      <c r="V308" s="280">
        <f t="shared" si="23"/>
        <v>0.01140350877</v>
      </c>
      <c r="W308" s="281" t="str">
        <f t="shared" si="38"/>
        <v/>
      </c>
      <c r="X308" s="282" t="str">
        <f>if(E308-today()&lt;0,"",E308-today())</f>
        <v>#VALUE!</v>
      </c>
      <c r="Y308" s="280" t="str">
        <f>IF(AND(#REF!="",N308=""),"",IF(N308="",TODAY()-#REF!,N308-#REF!))</f>
        <v>#REF!</v>
      </c>
      <c r="Z308" s="288" t="str">
        <f t="shared" si="8"/>
        <v/>
      </c>
      <c r="AA308" s="282">
        <f t="shared" si="9"/>
        <v>18</v>
      </c>
      <c r="AB308" s="282" t="str">
        <f>if(E308-today()&lt;0,"",E308-today())</f>
        <v>#VALUE!</v>
      </c>
      <c r="AC308" s="280" t="str">
        <f>IF(AND(#REF!="",N308=""),"",IF(N308="",TODAY()-#REF!,N308-#REF!))</f>
        <v>#REF!</v>
      </c>
      <c r="AD308" s="282" t="str">
        <f t="shared" si="60"/>
        <v/>
      </c>
      <c r="AE308" s="282">
        <f t="shared" si="61"/>
        <v>528</v>
      </c>
      <c r="AF308" s="283"/>
      <c r="AG308" s="283"/>
      <c r="AH308" s="283"/>
      <c r="AI308" s="283"/>
      <c r="AJ308" s="283"/>
      <c r="AK308" s="283"/>
      <c r="AL308" s="228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</row>
    <row r="309" ht="18.0" customHeight="1">
      <c r="A309" s="218"/>
      <c r="B309" s="219">
        <v>45582.0</v>
      </c>
      <c r="C309" s="176" t="s">
        <v>91</v>
      </c>
      <c r="D309" s="220" t="s">
        <v>99</v>
      </c>
      <c r="E309" s="176" t="s">
        <v>26</v>
      </c>
      <c r="F309" s="176" t="s">
        <v>27</v>
      </c>
      <c r="G309" s="221">
        <v>45646.0</v>
      </c>
      <c r="H309" s="179">
        <f>IFERROR(__xludf.DUMMYFUNCTION("GOOGLEFINANCE(D309,""price"")"),365.93)</f>
        <v>365.93</v>
      </c>
      <c r="I309" s="222">
        <v>355.0</v>
      </c>
      <c r="J309" s="223"/>
      <c r="K309" s="223"/>
      <c r="L309" s="181" t="str">
        <f t="shared" si="18"/>
        <v>Option Closed</v>
      </c>
      <c r="M309" s="212">
        <v>3.0</v>
      </c>
      <c r="N309" s="201">
        <v>1.0</v>
      </c>
      <c r="O309" s="183" t="s">
        <v>86</v>
      </c>
      <c r="P309" s="206"/>
      <c r="Q309" s="184"/>
      <c r="R309" s="185">
        <f>if(N309="","",N309*(1-$T$2))</f>
        <v>0.1</v>
      </c>
      <c r="S309" s="186">
        <f>IF(B309="","",IF(AND(E309="Stock",F309="Buy"),(100*((M309*N309)*-1)),IF(AND(E309="Call",F309="Buy"),(100*((M309*N309)*-1)),IF(AND(E309="PUT",F309="Buy"),(100*((M309*N309)*-1)),100*(M309*N309)))))</f>
        <v>300</v>
      </c>
      <c r="T309" s="187">
        <f>IF(B309="","",IF(AND(E309="Stock",F309="Buy"),(100*((M309*Q309)*1)),IF(AND(E309="Call",F309="Buy"),(100*((M309*Q309)*1)),IF(AND(E309="PUT",F309="Buy"),(100*((M309*Q309)*1)),(100*(M309*Q309))*-1))))</f>
        <v>0</v>
      </c>
      <c r="U309" s="188">
        <f t="shared" si="22"/>
        <v>300</v>
      </c>
      <c r="V309" s="189">
        <f t="shared" si="23"/>
        <v>0.002816901408</v>
      </c>
      <c r="W309" s="190" t="str">
        <f t="shared" si="38"/>
        <v/>
      </c>
      <c r="X309" s="191" t="str">
        <f>if(E309-today()&lt;0,"",E309-today())</f>
        <v>#VALUE!</v>
      </c>
      <c r="Y309" s="189" t="str">
        <f>IF(AND(#REF!="",N309=""),"",IF(N309="",TODAY()-#REF!,N309-#REF!))</f>
        <v>#REF!</v>
      </c>
      <c r="Z309" s="191" t="str">
        <f t="shared" si="8"/>
        <v/>
      </c>
      <c r="AA309" s="191">
        <f t="shared" si="9"/>
        <v>64</v>
      </c>
      <c r="AB309" s="191" t="str">
        <f>if(E309-today()&lt;0,"",E309-today())</f>
        <v>#VALUE!</v>
      </c>
      <c r="AC309" s="189" t="str">
        <f>IF(AND(#REF!="",N309=""),"",IF(N309="",TODAY()-#REF!,N309-#REF!))</f>
        <v>#REF!</v>
      </c>
      <c r="AD309" s="191" t="str">
        <f t="shared" si="60"/>
        <v/>
      </c>
      <c r="AE309" s="191">
        <f t="shared" si="61"/>
        <v>511</v>
      </c>
      <c r="AF309" s="233"/>
      <c r="AG309" s="233"/>
      <c r="AH309" s="233"/>
      <c r="AI309" s="233"/>
      <c r="AJ309" s="233"/>
      <c r="AK309" s="233"/>
      <c r="AL309" s="228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</row>
    <row r="310" ht="18.0" customHeight="1">
      <c r="A310" s="218"/>
      <c r="B310" s="284">
        <v>45588.0</v>
      </c>
      <c r="C310" s="264" t="s">
        <v>105</v>
      </c>
      <c r="D310" s="289" t="s">
        <v>115</v>
      </c>
      <c r="E310" s="264" t="s">
        <v>82</v>
      </c>
      <c r="F310" s="264" t="s">
        <v>27</v>
      </c>
      <c r="G310" s="266">
        <v>45611.0</v>
      </c>
      <c r="H310" s="267">
        <f>IFERROR(__xludf.DUMMYFUNCTION("GOOGLEFINANCE(D310,""price"")"),123.07)</f>
        <v>123.07</v>
      </c>
      <c r="I310" s="268">
        <v>95.0</v>
      </c>
      <c r="J310" s="269"/>
      <c r="K310" s="269"/>
      <c r="L310" s="286" t="str">
        <f t="shared" si="18"/>
        <v>Option Closed</v>
      </c>
      <c r="M310" s="290">
        <v>6.0</v>
      </c>
      <c r="N310" s="287">
        <v>1.8</v>
      </c>
      <c r="O310" s="273" t="s">
        <v>86</v>
      </c>
      <c r="P310" s="274"/>
      <c r="Q310" s="275"/>
      <c r="R310" s="276">
        <f>if(N310="","",N310*(1-$T$2))</f>
        <v>0.18</v>
      </c>
      <c r="S310" s="277">
        <f>IF(B310="","",IF(AND(E310="Stock",F310="Buy"),(100*((M310*N310)*-1)),IF(AND(E310="Call",F310="Buy"),(100*((M310*N310)*-1)),IF(AND(E310="PUT",F310="Buy"),(100*((M310*N310)*-1)),100*(M310*N310)))))</f>
        <v>1080</v>
      </c>
      <c r="T310" s="278">
        <f>IF(B310="","",IF(AND(E310="Stock",F310="Buy"),(100*((M310*Q310)*1)),IF(AND(E310="Call",F310="Buy"),(100*((M310*Q310)*1)),IF(AND(E310="PUT",F310="Buy"),(100*((M310*Q310)*1)),(100*(M310*Q310))*-1))))</f>
        <v>0</v>
      </c>
      <c r="U310" s="279">
        <f t="shared" si="22"/>
        <v>1080</v>
      </c>
      <c r="V310" s="280">
        <f t="shared" si="23"/>
        <v>0.01894736842</v>
      </c>
      <c r="W310" s="281" t="str">
        <f t="shared" si="38"/>
        <v/>
      </c>
      <c r="X310" s="282" t="str">
        <f>if(E310-today()&lt;0,"",E310-today())</f>
        <v>#VALUE!</v>
      </c>
      <c r="Y310" s="280" t="str">
        <f>IF(AND(#REF!="",N310=""),"",IF(N310="",TODAY()-#REF!,N310-#REF!))</f>
        <v>#REF!</v>
      </c>
      <c r="Z310" s="288" t="str">
        <f t="shared" si="8"/>
        <v/>
      </c>
      <c r="AA310" s="282">
        <f t="shared" si="9"/>
        <v>23</v>
      </c>
      <c r="AB310" s="282" t="str">
        <f>if(E310-today()&lt;0,"",E310-today())</f>
        <v>#VALUE!</v>
      </c>
      <c r="AC310" s="280" t="str">
        <f>IF(AND(#REF!="",N310=""),"",IF(N310="",TODAY()-#REF!,N310-#REF!))</f>
        <v>#REF!</v>
      </c>
      <c r="AD310" s="282" t="str">
        <f t="shared" si="60"/>
        <v/>
      </c>
      <c r="AE310" s="282">
        <f t="shared" si="61"/>
        <v>505</v>
      </c>
      <c r="AF310" s="283"/>
      <c r="AG310" s="283"/>
      <c r="AH310" s="283"/>
      <c r="AI310" s="283"/>
      <c r="AJ310" s="283"/>
      <c r="AK310" s="283"/>
      <c r="AL310" s="228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</row>
    <row r="311" ht="18.0" customHeight="1">
      <c r="A311" s="218"/>
      <c r="B311" s="219">
        <v>45589.0</v>
      </c>
      <c r="C311" s="176" t="s">
        <v>91</v>
      </c>
      <c r="D311" s="220" t="s">
        <v>112</v>
      </c>
      <c r="E311" s="176" t="s">
        <v>26</v>
      </c>
      <c r="F311" s="176" t="s">
        <v>27</v>
      </c>
      <c r="G311" s="221">
        <v>45611.0</v>
      </c>
      <c r="H311" s="179">
        <f>IFERROR(__xludf.DUMMYFUNCTION("GOOGLEFINANCE(D311,""price"")"),395.01)</f>
        <v>395.01</v>
      </c>
      <c r="I311" s="222">
        <v>260.0</v>
      </c>
      <c r="J311" s="223"/>
      <c r="K311" s="223"/>
      <c r="L311" s="181" t="str">
        <f t="shared" si="18"/>
        <v>Option Closed</v>
      </c>
      <c r="M311" s="212">
        <v>1.0</v>
      </c>
      <c r="N311" s="201">
        <v>8.0</v>
      </c>
      <c r="O311" s="183" t="s">
        <v>86</v>
      </c>
      <c r="P311" s="206"/>
      <c r="Q311" s="184"/>
      <c r="R311" s="185">
        <f t="shared" ref="R311:R314" si="76">if(N311="","",N311*(1-$T$2))</f>
        <v>0.8</v>
      </c>
      <c r="S311" s="186">
        <f t="shared" ref="S311:S314" si="77">IF(B311="","",IF(AND(E311="Stock",F311="Buy"),(100*((M311*N311)*-1)),IF(AND(E311="Call",F311="Buy"),(100*((M311*N311)*-1)),IF(AND(E311="PUT",F311="Buy"),(100*((M311*N311)*-1)),100*(M311*N311)))))</f>
        <v>800</v>
      </c>
      <c r="T311" s="187">
        <f t="shared" ref="T311:T314" si="78">IF(B311="","",IF(AND(E311="Stock",F311="Buy"),(100*((M311*Q311)*1)),IF(AND(E311="Call",F311="Buy"),(100*((M311*Q311)*1)),IF(AND(E311="PUT",F311="Buy"),(100*((M311*Q311)*1)),(100*(M311*Q311))*-1))))</f>
        <v>0</v>
      </c>
      <c r="U311" s="188">
        <f t="shared" si="22"/>
        <v>800</v>
      </c>
      <c r="V311" s="189">
        <f t="shared" si="23"/>
        <v>0.03076923077</v>
      </c>
      <c r="W311" s="190" t="str">
        <f t="shared" si="38"/>
        <v/>
      </c>
      <c r="X311" s="191" t="str">
        <f t="shared" ref="X311:X314" si="79">if(E311-today()&lt;0,"",E311-today())</f>
        <v>#VALUE!</v>
      </c>
      <c r="Y311" s="189" t="str">
        <f t="shared" ref="Y311:Y314" si="80">IF(AND(#REF!="",N311=""),"",IF(N311="",TODAY()-#REF!,N311-#REF!))</f>
        <v>#REF!</v>
      </c>
      <c r="Z311" s="191" t="str">
        <f t="shared" si="8"/>
        <v/>
      </c>
      <c r="AA311" s="191">
        <f t="shared" si="9"/>
        <v>22</v>
      </c>
      <c r="AB311" s="191" t="str">
        <f t="shared" ref="AB311:AB314" si="81">if(E311-today()&lt;0,"",E311-today())</f>
        <v>#VALUE!</v>
      </c>
      <c r="AC311" s="189" t="str">
        <f t="shared" ref="AC311:AC314" si="82">IF(AND(#REF!="",N311=""),"",IF(N311="",TODAY()-#REF!,N311-#REF!))</f>
        <v>#REF!</v>
      </c>
      <c r="AD311" s="191" t="str">
        <f t="shared" si="60"/>
        <v/>
      </c>
      <c r="AE311" s="191">
        <f t="shared" si="61"/>
        <v>504</v>
      </c>
      <c r="AF311" s="233"/>
      <c r="AG311" s="233"/>
      <c r="AH311" s="233"/>
      <c r="AI311" s="233"/>
      <c r="AJ311" s="233"/>
      <c r="AK311" s="233"/>
      <c r="AL311" s="228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</row>
    <row r="312" ht="18.0" customHeight="1">
      <c r="A312" s="218"/>
      <c r="B312" s="219">
        <v>45602.0</v>
      </c>
      <c r="C312" s="176" t="s">
        <v>105</v>
      </c>
      <c r="D312" s="220" t="s">
        <v>112</v>
      </c>
      <c r="E312" s="176" t="s">
        <v>82</v>
      </c>
      <c r="F312" s="176" t="s">
        <v>27</v>
      </c>
      <c r="G312" s="221">
        <v>45611.0</v>
      </c>
      <c r="H312" s="179">
        <f>IFERROR(__xludf.DUMMYFUNCTION("GOOGLEFINANCE(D312,""price"")"),395.01)</f>
        <v>395.01</v>
      </c>
      <c r="I312" s="222">
        <v>280.0</v>
      </c>
      <c r="J312" s="223"/>
      <c r="K312" s="223"/>
      <c r="L312" s="181" t="str">
        <f t="shared" si="18"/>
        <v>Option Closed</v>
      </c>
      <c r="M312" s="212">
        <v>1.0</v>
      </c>
      <c r="N312" s="201">
        <v>5.0</v>
      </c>
      <c r="O312" s="183" t="s">
        <v>86</v>
      </c>
      <c r="P312" s="206"/>
      <c r="Q312" s="184"/>
      <c r="R312" s="185">
        <f t="shared" si="76"/>
        <v>0.5</v>
      </c>
      <c r="S312" s="186">
        <f t="shared" si="77"/>
        <v>500</v>
      </c>
      <c r="T312" s="187">
        <f t="shared" si="78"/>
        <v>0</v>
      </c>
      <c r="U312" s="188">
        <f t="shared" si="22"/>
        <v>500</v>
      </c>
      <c r="V312" s="189">
        <f t="shared" si="23"/>
        <v>0.01785714286</v>
      </c>
      <c r="W312" s="190" t="str">
        <f t="shared" si="38"/>
        <v/>
      </c>
      <c r="X312" s="191" t="str">
        <f t="shared" si="79"/>
        <v>#VALUE!</v>
      </c>
      <c r="Y312" s="189" t="str">
        <f t="shared" si="80"/>
        <v>#REF!</v>
      </c>
      <c r="Z312" s="191" t="str">
        <f t="shared" si="8"/>
        <v/>
      </c>
      <c r="AA312" s="191">
        <f t="shared" si="9"/>
        <v>9</v>
      </c>
      <c r="AB312" s="191" t="str">
        <f t="shared" si="81"/>
        <v>#VALUE!</v>
      </c>
      <c r="AC312" s="189" t="str">
        <f t="shared" si="82"/>
        <v>#REF!</v>
      </c>
      <c r="AD312" s="191" t="str">
        <f t="shared" si="60"/>
        <v/>
      </c>
      <c r="AE312" s="191">
        <f t="shared" si="61"/>
        <v>491</v>
      </c>
      <c r="AF312" s="233"/>
      <c r="AG312" s="233"/>
      <c r="AH312" s="233"/>
      <c r="AI312" s="233"/>
      <c r="AJ312" s="233"/>
      <c r="AK312" s="233"/>
      <c r="AL312" s="228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</row>
    <row r="313" ht="18.0" customHeight="1">
      <c r="A313" s="218"/>
      <c r="B313" s="219">
        <v>45602.0</v>
      </c>
      <c r="C313" s="176" t="s">
        <v>105</v>
      </c>
      <c r="D313" s="220" t="s">
        <v>78</v>
      </c>
      <c r="E313" s="176" t="s">
        <v>82</v>
      </c>
      <c r="F313" s="176" t="s">
        <v>27</v>
      </c>
      <c r="G313" s="221">
        <v>45611.0</v>
      </c>
      <c r="H313" s="179">
        <f>IFERROR(__xludf.DUMMYFUNCTION("GOOGLEFINANCE(D313,""price"")"),720.66)</f>
        <v>720.66</v>
      </c>
      <c r="I313" s="222">
        <v>600.0</v>
      </c>
      <c r="J313" s="223"/>
      <c r="K313" s="223"/>
      <c r="L313" s="181" t="str">
        <f t="shared" si="18"/>
        <v>Option Closed</v>
      </c>
      <c r="M313" s="212">
        <v>1.0</v>
      </c>
      <c r="N313" s="201">
        <v>5.5</v>
      </c>
      <c r="O313" s="183" t="s">
        <v>86</v>
      </c>
      <c r="P313" s="206"/>
      <c r="Q313" s="184"/>
      <c r="R313" s="185">
        <f t="shared" si="76"/>
        <v>0.55</v>
      </c>
      <c r="S313" s="186">
        <f t="shared" si="77"/>
        <v>550</v>
      </c>
      <c r="T313" s="187">
        <f t="shared" si="78"/>
        <v>0</v>
      </c>
      <c r="U313" s="188">
        <f t="shared" si="22"/>
        <v>550</v>
      </c>
      <c r="V313" s="189">
        <f t="shared" si="23"/>
        <v>0.009166666667</v>
      </c>
      <c r="W313" s="190" t="str">
        <f t="shared" si="38"/>
        <v/>
      </c>
      <c r="X313" s="191" t="str">
        <f t="shared" si="79"/>
        <v>#VALUE!</v>
      </c>
      <c r="Y313" s="189" t="str">
        <f t="shared" si="80"/>
        <v>#REF!</v>
      </c>
      <c r="Z313" s="191" t="str">
        <f t="shared" si="8"/>
        <v/>
      </c>
      <c r="AA313" s="191">
        <f t="shared" si="9"/>
        <v>9</v>
      </c>
      <c r="AB313" s="191" t="str">
        <f t="shared" si="81"/>
        <v>#VALUE!</v>
      </c>
      <c r="AC313" s="189" t="str">
        <f t="shared" si="82"/>
        <v>#REF!</v>
      </c>
      <c r="AD313" s="191" t="str">
        <f t="shared" si="60"/>
        <v/>
      </c>
      <c r="AE313" s="191">
        <f t="shared" si="61"/>
        <v>491</v>
      </c>
      <c r="AF313" s="233"/>
      <c r="AG313" s="233"/>
      <c r="AH313" s="233"/>
      <c r="AI313" s="233"/>
      <c r="AJ313" s="233"/>
      <c r="AK313" s="233"/>
      <c r="AL313" s="228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</row>
    <row r="314" ht="18.0" customHeight="1">
      <c r="A314" s="218"/>
      <c r="B314" s="219">
        <v>45602.0</v>
      </c>
      <c r="C314" s="176" t="s">
        <v>105</v>
      </c>
      <c r="D314" s="220" t="s">
        <v>78</v>
      </c>
      <c r="E314" s="176" t="s">
        <v>82</v>
      </c>
      <c r="F314" s="176" t="s">
        <v>27</v>
      </c>
      <c r="G314" s="221">
        <v>45646.0</v>
      </c>
      <c r="H314" s="179">
        <f>IFERROR(__xludf.DUMMYFUNCTION("GOOGLEFINANCE(D314,""price"")"),720.66)</f>
        <v>720.66</v>
      </c>
      <c r="I314" s="222">
        <v>605.0</v>
      </c>
      <c r="J314" s="223"/>
      <c r="K314" s="223"/>
      <c r="L314" s="181" t="str">
        <f t="shared" si="18"/>
        <v>Option Closed</v>
      </c>
      <c r="M314" s="212">
        <v>1.0</v>
      </c>
      <c r="N314" s="201">
        <v>13.5</v>
      </c>
      <c r="O314" s="183" t="s">
        <v>86</v>
      </c>
      <c r="P314" s="206"/>
      <c r="Q314" s="184"/>
      <c r="R314" s="185">
        <f t="shared" si="76"/>
        <v>1.35</v>
      </c>
      <c r="S314" s="186">
        <f t="shared" si="77"/>
        <v>1350</v>
      </c>
      <c r="T314" s="187">
        <f t="shared" si="78"/>
        <v>0</v>
      </c>
      <c r="U314" s="188">
        <f t="shared" si="22"/>
        <v>1350</v>
      </c>
      <c r="V314" s="189">
        <f t="shared" si="23"/>
        <v>0.02231404959</v>
      </c>
      <c r="W314" s="190" t="str">
        <f t="shared" si="38"/>
        <v/>
      </c>
      <c r="X314" s="191" t="str">
        <f t="shared" si="79"/>
        <v>#VALUE!</v>
      </c>
      <c r="Y314" s="189" t="str">
        <f t="shared" si="80"/>
        <v>#REF!</v>
      </c>
      <c r="Z314" s="191" t="str">
        <f t="shared" si="8"/>
        <v/>
      </c>
      <c r="AA314" s="191">
        <f t="shared" si="9"/>
        <v>44</v>
      </c>
      <c r="AB314" s="191" t="str">
        <f t="shared" si="81"/>
        <v>#VALUE!</v>
      </c>
      <c r="AC314" s="189" t="str">
        <f t="shared" si="82"/>
        <v>#REF!</v>
      </c>
      <c r="AD314" s="191" t="str">
        <f t="shared" si="60"/>
        <v/>
      </c>
      <c r="AE314" s="191">
        <f t="shared" si="61"/>
        <v>491</v>
      </c>
      <c r="AF314" s="233"/>
      <c r="AG314" s="233"/>
      <c r="AH314" s="233"/>
      <c r="AI314" s="233"/>
      <c r="AJ314" s="233"/>
      <c r="AK314" s="233"/>
      <c r="AL314" s="228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</row>
    <row r="315" ht="18.0" customHeight="1">
      <c r="A315" s="291"/>
      <c r="B315" s="263">
        <v>45659.0</v>
      </c>
      <c r="C315" s="264" t="s">
        <v>105</v>
      </c>
      <c r="D315" s="265" t="s">
        <v>78</v>
      </c>
      <c r="E315" s="264" t="s">
        <v>82</v>
      </c>
      <c r="F315" s="264" t="s">
        <v>27</v>
      </c>
      <c r="G315" s="266">
        <v>45677.0</v>
      </c>
      <c r="H315" s="267">
        <f>IFERROR(__xludf.DUMMYFUNCTION("GOOGLEFINANCE(D315,""price"")"),720.66)</f>
        <v>720.66</v>
      </c>
      <c r="I315" s="268">
        <v>620.0</v>
      </c>
      <c r="J315" s="269"/>
      <c r="K315" s="269"/>
      <c r="L315" s="292" t="str">
        <f t="shared" si="18"/>
        <v>Option Closed</v>
      </c>
      <c r="M315" s="271">
        <v>1.0</v>
      </c>
      <c r="N315" s="287">
        <v>10.0</v>
      </c>
      <c r="O315" s="293" t="s">
        <v>86</v>
      </c>
      <c r="P315" s="274"/>
      <c r="Q315" s="275"/>
      <c r="R315" s="276">
        <f t="shared" ref="R315:R328" si="83">if(N315="","",N315*(1-$T$2))</f>
        <v>1</v>
      </c>
      <c r="S315" s="277">
        <f t="shared" ref="S315:S328" si="84">IF(B315="","",IF(AND(E315="Stock",F315="Buy"),(100*((M315*N315)*-1)),IF(AND(E315="Call",F315="Buy"),(100*((M315*N315)*-1)),IF(AND(E315="PUT",F315="Buy"),(100*((M315*N315)*-1)),100*(M315*N315)))))</f>
        <v>1000</v>
      </c>
      <c r="T315" s="278">
        <f t="shared" ref="T315:T328" si="85">IF(B315="","",IF(AND(E315="Stock",F315="Buy"),(100*((M315*Q315)*1)),IF(AND(E315="Call",F315="Buy"),(100*((M315*Q315)*1)),IF(AND(E315="PUT",F315="Buy"),(100*((M315*Q315)*1)),(100*(M315*Q315))*-1))))</f>
        <v>0</v>
      </c>
      <c r="U315" s="279">
        <f t="shared" si="22"/>
        <v>1000</v>
      </c>
      <c r="V315" s="280">
        <f t="shared" si="23"/>
        <v>0.01612903226</v>
      </c>
      <c r="W315" s="281" t="str">
        <f t="shared" si="38"/>
        <v/>
      </c>
      <c r="X315" s="282" t="str">
        <f t="shared" ref="X315:X328" si="86">if(E315-today()&lt;0,"",E315-today())</f>
        <v>#VALUE!</v>
      </c>
      <c r="Y315" s="280" t="str">
        <f t="shared" ref="Y315:Y328" si="87">IF(AND(#REF!="",N315=""),"",IF(N315="",TODAY()-#REF!,N315-#REF!))</f>
        <v>#REF!</v>
      </c>
      <c r="Z315" s="294" t="str">
        <f t="shared" si="8"/>
        <v/>
      </c>
      <c r="AA315" s="282">
        <f t="shared" si="9"/>
        <v>18</v>
      </c>
      <c r="AB315" s="282" t="str">
        <f t="shared" ref="AB315:AB328" si="88">if(E315-today()&lt;0,"",E315-today())</f>
        <v>#VALUE!</v>
      </c>
      <c r="AC315" s="280" t="str">
        <f t="shared" ref="AC315:AC328" si="89">IF(AND(#REF!="",N315=""),"",IF(N315="",TODAY()-#REF!,N315-#REF!))</f>
        <v>#REF!</v>
      </c>
      <c r="AD315" s="294" t="str">
        <f t="shared" si="60"/>
        <v/>
      </c>
      <c r="AE315" s="282">
        <f t="shared" si="61"/>
        <v>434</v>
      </c>
      <c r="AF315" s="283"/>
      <c r="AG315" s="283"/>
      <c r="AH315" s="283"/>
      <c r="AI315" s="283"/>
      <c r="AJ315" s="283"/>
      <c r="AK315" s="283"/>
      <c r="AL315" s="295"/>
      <c r="AM315" s="259"/>
      <c r="AN315" s="259"/>
      <c r="AO315" s="259"/>
      <c r="AP315" s="259"/>
      <c r="AQ315" s="259"/>
      <c r="AR315" s="259"/>
      <c r="AS315" s="259"/>
      <c r="AT315" s="259"/>
      <c r="AU315" s="259"/>
      <c r="AV315" s="259"/>
      <c r="AW315" s="259"/>
      <c r="AX315" s="259"/>
      <c r="AY315" s="259"/>
      <c r="AZ315" s="259"/>
      <c r="BA315" s="259"/>
    </row>
    <row r="316" ht="18.0" customHeight="1">
      <c r="A316" s="218"/>
      <c r="B316" s="263">
        <v>45659.0</v>
      </c>
      <c r="C316" s="264" t="s">
        <v>105</v>
      </c>
      <c r="D316" s="289" t="s">
        <v>115</v>
      </c>
      <c r="E316" s="264" t="s">
        <v>82</v>
      </c>
      <c r="F316" s="264" t="s">
        <v>27</v>
      </c>
      <c r="G316" s="266">
        <v>45677.0</v>
      </c>
      <c r="H316" s="267">
        <f>IFERROR(__xludf.DUMMYFUNCTION("GOOGLEFINANCE(D316,""price"")"),123.07)</f>
        <v>123.07</v>
      </c>
      <c r="I316" s="268">
        <v>104.0</v>
      </c>
      <c r="J316" s="269"/>
      <c r="K316" s="269"/>
      <c r="L316" s="292" t="str">
        <f t="shared" si="18"/>
        <v>Option Closed</v>
      </c>
      <c r="M316" s="290">
        <v>10.0</v>
      </c>
      <c r="N316" s="287">
        <v>1.5</v>
      </c>
      <c r="O316" s="293" t="s">
        <v>83</v>
      </c>
      <c r="P316" s="274"/>
      <c r="Q316" s="275"/>
      <c r="R316" s="276">
        <f t="shared" si="83"/>
        <v>0.15</v>
      </c>
      <c r="S316" s="277">
        <f t="shared" si="84"/>
        <v>1500</v>
      </c>
      <c r="T316" s="278">
        <f t="shared" si="85"/>
        <v>0</v>
      </c>
      <c r="U316" s="279">
        <f t="shared" si="22"/>
        <v>1500</v>
      </c>
      <c r="V316" s="280">
        <f t="shared" si="23"/>
        <v>0.01442307692</v>
      </c>
      <c r="W316" s="281" t="str">
        <f t="shared" si="38"/>
        <v/>
      </c>
      <c r="X316" s="282" t="str">
        <f t="shared" si="86"/>
        <v>#VALUE!</v>
      </c>
      <c r="Y316" s="280" t="str">
        <f t="shared" si="87"/>
        <v>#REF!</v>
      </c>
      <c r="Z316" s="294" t="str">
        <f t="shared" si="8"/>
        <v/>
      </c>
      <c r="AA316" s="282">
        <f t="shared" si="9"/>
        <v>18</v>
      </c>
      <c r="AB316" s="282" t="str">
        <f t="shared" si="88"/>
        <v>#VALUE!</v>
      </c>
      <c r="AC316" s="280" t="str">
        <f t="shared" si="89"/>
        <v>#REF!</v>
      </c>
      <c r="AD316" s="294" t="str">
        <f t="shared" si="60"/>
        <v/>
      </c>
      <c r="AE316" s="282">
        <f t="shared" si="61"/>
        <v>434</v>
      </c>
      <c r="AF316" s="283"/>
      <c r="AG316" s="283"/>
      <c r="AH316" s="283"/>
      <c r="AI316" s="283"/>
      <c r="AJ316" s="283"/>
      <c r="AK316" s="283"/>
      <c r="AL316" s="228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</row>
    <row r="317" ht="18.0" customHeight="1">
      <c r="A317" s="218"/>
      <c r="B317" s="263">
        <v>45659.0</v>
      </c>
      <c r="C317" s="264" t="s">
        <v>105</v>
      </c>
      <c r="D317" s="289" t="s">
        <v>99</v>
      </c>
      <c r="E317" s="264" t="s">
        <v>82</v>
      </c>
      <c r="F317" s="264" t="s">
        <v>27</v>
      </c>
      <c r="G317" s="266">
        <v>45737.0</v>
      </c>
      <c r="H317" s="267">
        <f>IFERROR(__xludf.DUMMYFUNCTION("GOOGLEFINANCE(D317,""price"")"),365.93)</f>
        <v>365.93</v>
      </c>
      <c r="I317" s="268">
        <v>405.0</v>
      </c>
      <c r="J317" s="269"/>
      <c r="K317" s="269"/>
      <c r="L317" s="292" t="str">
        <f t="shared" si="18"/>
        <v>Option Closed</v>
      </c>
      <c r="M317" s="290">
        <v>3.0</v>
      </c>
      <c r="N317" s="287">
        <v>20.0</v>
      </c>
      <c r="O317" s="293" t="s">
        <v>83</v>
      </c>
      <c r="P317" s="274"/>
      <c r="Q317" s="275"/>
      <c r="R317" s="276">
        <f t="shared" si="83"/>
        <v>2</v>
      </c>
      <c r="S317" s="277">
        <f t="shared" si="84"/>
        <v>6000</v>
      </c>
      <c r="T317" s="278">
        <f t="shared" si="85"/>
        <v>0</v>
      </c>
      <c r="U317" s="279">
        <f t="shared" si="22"/>
        <v>6000</v>
      </c>
      <c r="V317" s="280">
        <f t="shared" si="23"/>
        <v>0.04938271605</v>
      </c>
      <c r="W317" s="281" t="str">
        <f t="shared" si="38"/>
        <v/>
      </c>
      <c r="X317" s="282" t="str">
        <f t="shared" si="86"/>
        <v>#VALUE!</v>
      </c>
      <c r="Y317" s="280" t="str">
        <f t="shared" si="87"/>
        <v>#REF!</v>
      </c>
      <c r="Z317" s="294" t="str">
        <f t="shared" si="8"/>
        <v/>
      </c>
      <c r="AA317" s="282">
        <f t="shared" si="9"/>
        <v>78</v>
      </c>
      <c r="AB317" s="282" t="str">
        <f t="shared" si="88"/>
        <v>#VALUE!</v>
      </c>
      <c r="AC317" s="280" t="str">
        <f t="shared" si="89"/>
        <v>#REF!</v>
      </c>
      <c r="AD317" s="294" t="str">
        <f t="shared" si="60"/>
        <v/>
      </c>
      <c r="AE317" s="282">
        <f t="shared" si="61"/>
        <v>434</v>
      </c>
      <c r="AF317" s="283"/>
      <c r="AG317" s="283"/>
      <c r="AH317" s="283"/>
      <c r="AI317" s="283"/>
      <c r="AJ317" s="283"/>
      <c r="AK317" s="283"/>
      <c r="AL317" s="228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</row>
    <row r="318" ht="18.0" customHeight="1">
      <c r="A318" s="218"/>
      <c r="B318" s="263">
        <v>45674.0</v>
      </c>
      <c r="C318" s="264" t="s">
        <v>105</v>
      </c>
      <c r="D318" s="289" t="s">
        <v>88</v>
      </c>
      <c r="E318" s="264" t="s">
        <v>82</v>
      </c>
      <c r="F318" s="264" t="s">
        <v>27</v>
      </c>
      <c r="G318" s="266">
        <v>45716.0</v>
      </c>
      <c r="H318" s="267">
        <f>IFERROR(__xludf.DUMMYFUNCTION("GOOGLEFINANCE(D318,""price"")"),46.83)</f>
        <v>46.83</v>
      </c>
      <c r="I318" s="268">
        <v>81.0</v>
      </c>
      <c r="J318" s="269"/>
      <c r="K318" s="269"/>
      <c r="L318" s="292" t="str">
        <f t="shared" si="18"/>
        <v>Option Closed</v>
      </c>
      <c r="M318" s="290">
        <v>4.0</v>
      </c>
      <c r="N318" s="287">
        <v>4.5</v>
      </c>
      <c r="O318" s="293" t="s">
        <v>83</v>
      </c>
      <c r="P318" s="274"/>
      <c r="Q318" s="275"/>
      <c r="R318" s="276">
        <f t="shared" si="83"/>
        <v>0.45</v>
      </c>
      <c r="S318" s="277">
        <f t="shared" si="84"/>
        <v>1800</v>
      </c>
      <c r="T318" s="278">
        <f t="shared" si="85"/>
        <v>0</v>
      </c>
      <c r="U318" s="279">
        <f t="shared" si="22"/>
        <v>1800</v>
      </c>
      <c r="V318" s="280">
        <f t="shared" si="23"/>
        <v>0.05555555556</v>
      </c>
      <c r="W318" s="281" t="str">
        <f t="shared" si="38"/>
        <v/>
      </c>
      <c r="X318" s="282" t="str">
        <f t="shared" si="86"/>
        <v>#VALUE!</v>
      </c>
      <c r="Y318" s="280" t="str">
        <f t="shared" si="87"/>
        <v>#REF!</v>
      </c>
      <c r="Z318" s="294" t="str">
        <f t="shared" si="8"/>
        <v/>
      </c>
      <c r="AA318" s="282">
        <f t="shared" si="9"/>
        <v>42</v>
      </c>
      <c r="AB318" s="282" t="str">
        <f t="shared" si="88"/>
        <v>#VALUE!</v>
      </c>
      <c r="AC318" s="280" t="str">
        <f t="shared" si="89"/>
        <v>#REF!</v>
      </c>
      <c r="AD318" s="294" t="str">
        <f t="shared" si="60"/>
        <v/>
      </c>
      <c r="AE318" s="282">
        <f t="shared" si="61"/>
        <v>419</v>
      </c>
      <c r="AF318" s="283"/>
      <c r="AG318" s="283"/>
      <c r="AH318" s="283"/>
      <c r="AI318" s="283"/>
      <c r="AJ318" s="283"/>
      <c r="AK318" s="283"/>
      <c r="AL318" s="228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</row>
    <row r="319" ht="18.0" customHeight="1">
      <c r="A319" s="218"/>
      <c r="B319" s="263">
        <v>45678.0</v>
      </c>
      <c r="C319" s="264" t="s">
        <v>105</v>
      </c>
      <c r="D319" s="289" t="s">
        <v>115</v>
      </c>
      <c r="E319" s="296" t="s">
        <v>26</v>
      </c>
      <c r="F319" s="264" t="s">
        <v>27</v>
      </c>
      <c r="G319" s="266">
        <v>45705.0</v>
      </c>
      <c r="H319" s="267">
        <f>IFERROR(__xludf.DUMMYFUNCTION("GOOGLEFINANCE(D319,""price"")"),123.07)</f>
        <v>123.07</v>
      </c>
      <c r="I319" s="268">
        <v>108.0</v>
      </c>
      <c r="J319" s="269"/>
      <c r="K319" s="269"/>
      <c r="L319" s="292" t="str">
        <f t="shared" si="18"/>
        <v>Option Closed</v>
      </c>
      <c r="M319" s="290">
        <v>11.0</v>
      </c>
      <c r="N319" s="287">
        <v>1.0</v>
      </c>
      <c r="O319" s="293" t="s">
        <v>83</v>
      </c>
      <c r="P319" s="274"/>
      <c r="Q319" s="275"/>
      <c r="R319" s="276">
        <f t="shared" si="83"/>
        <v>0.1</v>
      </c>
      <c r="S319" s="277">
        <f t="shared" si="84"/>
        <v>1100</v>
      </c>
      <c r="T319" s="278">
        <f t="shared" si="85"/>
        <v>0</v>
      </c>
      <c r="U319" s="279">
        <f t="shared" si="22"/>
        <v>1100</v>
      </c>
      <c r="V319" s="280">
        <f t="shared" si="23"/>
        <v>0.009259259259</v>
      </c>
      <c r="W319" s="281" t="str">
        <f t="shared" si="38"/>
        <v/>
      </c>
      <c r="X319" s="282" t="str">
        <f t="shared" si="86"/>
        <v>#VALUE!</v>
      </c>
      <c r="Y319" s="280" t="str">
        <f t="shared" si="87"/>
        <v>#REF!</v>
      </c>
      <c r="Z319" s="294" t="str">
        <f t="shared" si="8"/>
        <v/>
      </c>
      <c r="AA319" s="282">
        <f t="shared" si="9"/>
        <v>27</v>
      </c>
      <c r="AB319" s="282" t="str">
        <f t="shared" si="88"/>
        <v>#VALUE!</v>
      </c>
      <c r="AC319" s="280" t="str">
        <f t="shared" si="89"/>
        <v>#REF!</v>
      </c>
      <c r="AD319" s="294" t="str">
        <f t="shared" si="60"/>
        <v/>
      </c>
      <c r="AE319" s="282">
        <f t="shared" si="61"/>
        <v>415</v>
      </c>
      <c r="AF319" s="283"/>
      <c r="AG319" s="283"/>
      <c r="AH319" s="283"/>
      <c r="AI319" s="283"/>
      <c r="AJ319" s="283"/>
      <c r="AK319" s="283"/>
      <c r="AL319" s="228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</row>
    <row r="320" ht="18.0" customHeight="1">
      <c r="A320" s="218"/>
      <c r="B320" s="263">
        <v>45647.0</v>
      </c>
      <c r="C320" s="296" t="s">
        <v>91</v>
      </c>
      <c r="D320" s="289" t="s">
        <v>78</v>
      </c>
      <c r="E320" s="296" t="s">
        <v>26</v>
      </c>
      <c r="F320" s="264" t="s">
        <v>27</v>
      </c>
      <c r="G320" s="266">
        <v>45733.0</v>
      </c>
      <c r="H320" s="267">
        <f>IFERROR(__xludf.DUMMYFUNCTION("GOOGLEFINANCE(D320,""price"")"),720.66)</f>
        <v>720.66</v>
      </c>
      <c r="I320" s="268">
        <v>590.0</v>
      </c>
      <c r="J320" s="269"/>
      <c r="K320" s="269"/>
      <c r="L320" s="292" t="str">
        <f t="shared" si="18"/>
        <v>Option Closed</v>
      </c>
      <c r="M320" s="290">
        <v>3.0</v>
      </c>
      <c r="N320" s="287">
        <v>0.0</v>
      </c>
      <c r="O320" s="293" t="s">
        <v>86</v>
      </c>
      <c r="P320" s="274"/>
      <c r="Q320" s="275"/>
      <c r="R320" s="276">
        <f t="shared" si="83"/>
        <v>0</v>
      </c>
      <c r="S320" s="277">
        <f t="shared" si="84"/>
        <v>0</v>
      </c>
      <c r="T320" s="278">
        <f t="shared" si="85"/>
        <v>0</v>
      </c>
      <c r="U320" s="279">
        <f t="shared" si="22"/>
        <v>0</v>
      </c>
      <c r="V320" s="280">
        <f t="shared" si="23"/>
        <v>0</v>
      </c>
      <c r="W320" s="281" t="str">
        <f t="shared" si="38"/>
        <v/>
      </c>
      <c r="X320" s="282" t="str">
        <f t="shared" si="86"/>
        <v>#VALUE!</v>
      </c>
      <c r="Y320" s="280" t="str">
        <f t="shared" si="87"/>
        <v>#REF!</v>
      </c>
      <c r="Z320" s="294" t="str">
        <f t="shared" si="8"/>
        <v/>
      </c>
      <c r="AA320" s="282">
        <f t="shared" si="9"/>
        <v>86</v>
      </c>
      <c r="AB320" s="282" t="str">
        <f t="shared" si="88"/>
        <v>#VALUE!</v>
      </c>
      <c r="AC320" s="280" t="str">
        <f t="shared" si="89"/>
        <v>#REF!</v>
      </c>
      <c r="AD320" s="294" t="str">
        <f t="shared" si="60"/>
        <v/>
      </c>
      <c r="AE320" s="282">
        <f t="shared" si="61"/>
        <v>446</v>
      </c>
      <c r="AF320" s="283"/>
      <c r="AG320" s="283"/>
      <c r="AH320" s="283"/>
      <c r="AI320" s="283"/>
      <c r="AJ320" s="283"/>
      <c r="AK320" s="283"/>
      <c r="AL320" s="228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</row>
    <row r="321" ht="18.0" customHeight="1">
      <c r="A321" s="218"/>
      <c r="B321" s="263">
        <v>45708.0</v>
      </c>
      <c r="C321" s="296" t="s">
        <v>105</v>
      </c>
      <c r="D321" s="289" t="s">
        <v>78</v>
      </c>
      <c r="E321" s="296" t="s">
        <v>82</v>
      </c>
      <c r="F321" s="264" t="s">
        <v>27</v>
      </c>
      <c r="G321" s="266">
        <v>45733.0</v>
      </c>
      <c r="H321" s="267">
        <f>IFERROR(__xludf.DUMMYFUNCTION("GOOGLEFINANCE(D321,""price"")"),720.66)</f>
        <v>720.66</v>
      </c>
      <c r="I321" s="268">
        <v>630.0</v>
      </c>
      <c r="J321" s="269"/>
      <c r="K321" s="269"/>
      <c r="L321" s="292" t="str">
        <f t="shared" si="18"/>
        <v>Option Closed</v>
      </c>
      <c r="M321" s="290">
        <v>1.0</v>
      </c>
      <c r="N321" s="287">
        <v>10.0</v>
      </c>
      <c r="O321" s="293" t="s">
        <v>83</v>
      </c>
      <c r="P321" s="274"/>
      <c r="Q321" s="275"/>
      <c r="R321" s="276">
        <f t="shared" si="83"/>
        <v>1</v>
      </c>
      <c r="S321" s="277">
        <f t="shared" si="84"/>
        <v>1000</v>
      </c>
      <c r="T321" s="278">
        <f t="shared" si="85"/>
        <v>0</v>
      </c>
      <c r="U321" s="279">
        <f t="shared" si="22"/>
        <v>1000</v>
      </c>
      <c r="V321" s="280">
        <f t="shared" si="23"/>
        <v>0.01587301587</v>
      </c>
      <c r="W321" s="281" t="str">
        <f t="shared" si="38"/>
        <v/>
      </c>
      <c r="X321" s="282" t="str">
        <f t="shared" si="86"/>
        <v>#VALUE!</v>
      </c>
      <c r="Y321" s="280" t="str">
        <f t="shared" si="87"/>
        <v>#REF!</v>
      </c>
      <c r="Z321" s="294" t="str">
        <f t="shared" si="8"/>
        <v/>
      </c>
      <c r="AA321" s="282">
        <f t="shared" si="9"/>
        <v>25</v>
      </c>
      <c r="AB321" s="282" t="str">
        <f t="shared" si="88"/>
        <v>#VALUE!</v>
      </c>
      <c r="AC321" s="280" t="str">
        <f t="shared" si="89"/>
        <v>#REF!</v>
      </c>
      <c r="AD321" s="294" t="str">
        <f t="shared" si="60"/>
        <v/>
      </c>
      <c r="AE321" s="282">
        <f t="shared" si="61"/>
        <v>385</v>
      </c>
      <c r="AF321" s="283"/>
      <c r="AG321" s="283"/>
      <c r="AH321" s="283"/>
      <c r="AI321" s="283"/>
      <c r="AJ321" s="283"/>
      <c r="AK321" s="283"/>
      <c r="AL321" s="228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</row>
    <row r="322" ht="18.0" customHeight="1">
      <c r="A322" s="218"/>
      <c r="B322" s="263">
        <v>45714.0</v>
      </c>
      <c r="C322" s="296" t="s">
        <v>105</v>
      </c>
      <c r="D322" s="289" t="s">
        <v>115</v>
      </c>
      <c r="E322" s="296" t="s">
        <v>82</v>
      </c>
      <c r="F322" s="264" t="s">
        <v>27</v>
      </c>
      <c r="G322" s="266">
        <v>45733.0</v>
      </c>
      <c r="H322" s="267">
        <f>IFERROR(__xludf.DUMMYFUNCTION("GOOGLEFINANCE(D322,""price"")"),123.07)</f>
        <v>123.07</v>
      </c>
      <c r="I322" s="268">
        <v>100.0</v>
      </c>
      <c r="J322" s="269"/>
      <c r="K322" s="269"/>
      <c r="L322" s="292" t="str">
        <f t="shared" si="18"/>
        <v>Option Closed</v>
      </c>
      <c r="M322" s="290">
        <v>5.0</v>
      </c>
      <c r="N322" s="287">
        <v>1.7</v>
      </c>
      <c r="O322" s="293" t="s">
        <v>83</v>
      </c>
      <c r="P322" s="274"/>
      <c r="Q322" s="275"/>
      <c r="R322" s="276">
        <f t="shared" si="83"/>
        <v>0.17</v>
      </c>
      <c r="S322" s="277">
        <f t="shared" si="84"/>
        <v>850</v>
      </c>
      <c r="T322" s="278">
        <f t="shared" si="85"/>
        <v>0</v>
      </c>
      <c r="U322" s="279">
        <f t="shared" si="22"/>
        <v>850</v>
      </c>
      <c r="V322" s="280">
        <f t="shared" si="23"/>
        <v>0.017</v>
      </c>
      <c r="W322" s="281" t="str">
        <f t="shared" si="38"/>
        <v/>
      </c>
      <c r="X322" s="282" t="str">
        <f t="shared" si="86"/>
        <v>#VALUE!</v>
      </c>
      <c r="Y322" s="280" t="str">
        <f t="shared" si="87"/>
        <v>#REF!</v>
      </c>
      <c r="Z322" s="294" t="str">
        <f t="shared" si="8"/>
        <v/>
      </c>
      <c r="AA322" s="282">
        <f t="shared" si="9"/>
        <v>19</v>
      </c>
      <c r="AB322" s="282" t="str">
        <f t="shared" si="88"/>
        <v>#VALUE!</v>
      </c>
      <c r="AC322" s="280" t="str">
        <f t="shared" si="89"/>
        <v>#REF!</v>
      </c>
      <c r="AD322" s="294" t="str">
        <f t="shared" si="60"/>
        <v/>
      </c>
      <c r="AE322" s="282">
        <f t="shared" si="61"/>
        <v>379</v>
      </c>
      <c r="AF322" s="283"/>
      <c r="AG322" s="283"/>
      <c r="AH322" s="283"/>
      <c r="AI322" s="283"/>
      <c r="AJ322" s="283"/>
      <c r="AK322" s="283"/>
      <c r="AL322" s="228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</row>
    <row r="323" ht="18.0" customHeight="1">
      <c r="A323" s="218"/>
      <c r="B323" s="263">
        <v>45792.0</v>
      </c>
      <c r="C323" s="296" t="s">
        <v>91</v>
      </c>
      <c r="D323" s="289" t="s">
        <v>115</v>
      </c>
      <c r="E323" s="296" t="s">
        <v>26</v>
      </c>
      <c r="F323" s="264" t="s">
        <v>27</v>
      </c>
      <c r="G323" s="266">
        <v>45828.0</v>
      </c>
      <c r="H323" s="267">
        <f>IFERROR(__xludf.DUMMYFUNCTION("GOOGLEFINANCE(D323,""price"")"),123.07)</f>
        <v>123.07</v>
      </c>
      <c r="I323" s="268">
        <v>105.0</v>
      </c>
      <c r="J323" s="269"/>
      <c r="K323" s="269"/>
      <c r="L323" s="292">
        <f t="shared" si="18"/>
        <v>-0.1720952381</v>
      </c>
      <c r="M323" s="290">
        <v>10.0</v>
      </c>
      <c r="N323" s="287">
        <v>1.5</v>
      </c>
      <c r="O323" s="293" t="s">
        <v>28</v>
      </c>
      <c r="P323" s="274"/>
      <c r="Q323" s="275"/>
      <c r="R323" s="276">
        <f t="shared" si="83"/>
        <v>0.15</v>
      </c>
      <c r="S323" s="277">
        <f t="shared" si="84"/>
        <v>1500</v>
      </c>
      <c r="T323" s="278">
        <f t="shared" si="85"/>
        <v>0</v>
      </c>
      <c r="U323" s="279">
        <f t="shared" si="22"/>
        <v>1500</v>
      </c>
      <c r="V323" s="280">
        <f t="shared" si="23"/>
        <v>0.01428571429</v>
      </c>
      <c r="W323" s="281" t="str">
        <f t="shared" si="38"/>
        <v/>
      </c>
      <c r="X323" s="282" t="str">
        <f t="shared" si="86"/>
        <v>#VALUE!</v>
      </c>
      <c r="Y323" s="280" t="str">
        <f t="shared" si="87"/>
        <v>#REF!</v>
      </c>
      <c r="Z323" s="294" t="str">
        <f t="shared" si="8"/>
        <v/>
      </c>
      <c r="AA323" s="282">
        <f t="shared" si="9"/>
        <v>36</v>
      </c>
      <c r="AB323" s="282" t="str">
        <f t="shared" si="88"/>
        <v>#VALUE!</v>
      </c>
      <c r="AC323" s="280" t="str">
        <f t="shared" si="89"/>
        <v>#REF!</v>
      </c>
      <c r="AD323" s="294" t="str">
        <f t="shared" si="60"/>
        <v/>
      </c>
      <c r="AE323" s="282">
        <f t="shared" si="61"/>
        <v>301</v>
      </c>
      <c r="AF323" s="283"/>
      <c r="AG323" s="283"/>
      <c r="AH323" s="283"/>
      <c r="AI323" s="283"/>
      <c r="AJ323" s="283"/>
      <c r="AK323" s="283"/>
      <c r="AL323" s="228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</row>
    <row r="324" ht="18.0" customHeight="1">
      <c r="A324" s="218"/>
      <c r="B324" s="263">
        <v>45797.0</v>
      </c>
      <c r="C324" s="296" t="s">
        <v>91</v>
      </c>
      <c r="D324" s="289" t="s">
        <v>99</v>
      </c>
      <c r="E324" s="296" t="s">
        <v>26</v>
      </c>
      <c r="F324" s="264" t="s">
        <v>27</v>
      </c>
      <c r="G324" s="266">
        <v>45919.0</v>
      </c>
      <c r="H324" s="267">
        <f>IFERROR(__xludf.DUMMYFUNCTION("GOOGLEFINANCE(D324,""price"")"),365.93)</f>
        <v>365.93</v>
      </c>
      <c r="I324" s="268">
        <v>385.0</v>
      </c>
      <c r="J324" s="269"/>
      <c r="K324" s="269"/>
      <c r="L324" s="292">
        <f t="shared" si="18"/>
        <v>0.04953246753</v>
      </c>
      <c r="M324" s="290">
        <v>3.0</v>
      </c>
      <c r="N324" s="287">
        <v>9.0</v>
      </c>
      <c r="O324" s="293" t="s">
        <v>28</v>
      </c>
      <c r="P324" s="274"/>
      <c r="Q324" s="275"/>
      <c r="R324" s="276">
        <f t="shared" si="83"/>
        <v>0.9</v>
      </c>
      <c r="S324" s="277">
        <f t="shared" si="84"/>
        <v>2700</v>
      </c>
      <c r="T324" s="278">
        <f t="shared" si="85"/>
        <v>0</v>
      </c>
      <c r="U324" s="279">
        <f t="shared" si="22"/>
        <v>2700</v>
      </c>
      <c r="V324" s="280">
        <f t="shared" si="23"/>
        <v>0.02337662338</v>
      </c>
      <c r="W324" s="281" t="str">
        <f t="shared" si="38"/>
        <v/>
      </c>
      <c r="X324" s="282" t="str">
        <f t="shared" si="86"/>
        <v>#VALUE!</v>
      </c>
      <c r="Y324" s="280" t="str">
        <f t="shared" si="87"/>
        <v>#REF!</v>
      </c>
      <c r="Z324" s="294" t="str">
        <f t="shared" si="8"/>
        <v/>
      </c>
      <c r="AA324" s="282">
        <f t="shared" si="9"/>
        <v>122</v>
      </c>
      <c r="AB324" s="282" t="str">
        <f t="shared" si="88"/>
        <v>#VALUE!</v>
      </c>
      <c r="AC324" s="280" t="str">
        <f t="shared" si="89"/>
        <v>#REF!</v>
      </c>
      <c r="AD324" s="294" t="str">
        <f t="shared" si="60"/>
        <v/>
      </c>
      <c r="AE324" s="282">
        <f t="shared" si="61"/>
        <v>296</v>
      </c>
      <c r="AF324" s="283"/>
      <c r="AG324" s="283"/>
      <c r="AH324" s="283"/>
      <c r="AI324" s="283"/>
      <c r="AJ324" s="283"/>
      <c r="AK324" s="283"/>
      <c r="AL324" s="228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</row>
    <row r="325" ht="18.0" customHeight="1">
      <c r="A325" s="218"/>
      <c r="B325" s="284">
        <v>45797.0</v>
      </c>
      <c r="C325" s="297" t="s">
        <v>91</v>
      </c>
      <c r="D325" s="298" t="s">
        <v>78</v>
      </c>
      <c r="E325" s="297" t="s">
        <v>26</v>
      </c>
      <c r="F325" s="297" t="s">
        <v>27</v>
      </c>
      <c r="G325" s="299">
        <v>45859.0</v>
      </c>
      <c r="H325" s="300">
        <f>IFERROR(__xludf.DUMMYFUNCTION("GOOGLEFINANCE(D325,""price"")"),720.66)</f>
        <v>720.66</v>
      </c>
      <c r="I325" s="301">
        <v>670.0</v>
      </c>
      <c r="J325" s="302"/>
      <c r="K325" s="302"/>
      <c r="L325" s="303">
        <f t="shared" si="18"/>
        <v>-0.0756119403</v>
      </c>
      <c r="M325" s="304">
        <v>3.0</v>
      </c>
      <c r="N325" s="305">
        <v>3.2</v>
      </c>
      <c r="O325" s="306" t="s">
        <v>28</v>
      </c>
      <c r="P325" s="307"/>
      <c r="Q325" s="308"/>
      <c r="R325" s="309">
        <f t="shared" si="83"/>
        <v>0.32</v>
      </c>
      <c r="S325" s="310">
        <f t="shared" si="84"/>
        <v>960</v>
      </c>
      <c r="T325" s="311">
        <f t="shared" si="85"/>
        <v>0</v>
      </c>
      <c r="U325" s="312">
        <f t="shared" si="22"/>
        <v>960</v>
      </c>
      <c r="V325" s="313">
        <f t="shared" si="23"/>
        <v>0.004776119403</v>
      </c>
      <c r="W325" s="314" t="str">
        <f t="shared" si="38"/>
        <v/>
      </c>
      <c r="X325" s="315" t="str">
        <f t="shared" si="86"/>
        <v>#VALUE!</v>
      </c>
      <c r="Y325" s="313" t="str">
        <f t="shared" si="87"/>
        <v>#REF!</v>
      </c>
      <c r="Z325" s="316" t="str">
        <f t="shared" si="8"/>
        <v/>
      </c>
      <c r="AA325" s="315">
        <f t="shared" si="9"/>
        <v>62</v>
      </c>
      <c r="AB325" s="315" t="str">
        <f t="shared" si="88"/>
        <v>#VALUE!</v>
      </c>
      <c r="AC325" s="313" t="str">
        <f t="shared" si="89"/>
        <v>#REF!</v>
      </c>
      <c r="AD325" s="317" t="str">
        <f t="shared" si="60"/>
        <v/>
      </c>
      <c r="AE325" s="315">
        <f t="shared" si="61"/>
        <v>296</v>
      </c>
      <c r="AF325" s="318"/>
      <c r="AG325" s="318"/>
      <c r="AH325" s="318"/>
      <c r="AI325" s="318"/>
      <c r="AJ325" s="318"/>
      <c r="AK325" s="318"/>
      <c r="AL325" s="228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</row>
    <row r="326" ht="18.0" customHeight="1">
      <c r="A326" s="218"/>
      <c r="B326" s="284">
        <v>45793.0</v>
      </c>
      <c r="C326" s="297" t="s">
        <v>91</v>
      </c>
      <c r="D326" s="298" t="s">
        <v>78</v>
      </c>
      <c r="E326" s="297" t="s">
        <v>26</v>
      </c>
      <c r="F326" s="297" t="s">
        <v>27</v>
      </c>
      <c r="G326" s="299">
        <v>45889.0</v>
      </c>
      <c r="H326" s="300">
        <f>IFERROR(__xludf.DUMMYFUNCTION("GOOGLEFINANCE(D326,""price"")"),720.66)</f>
        <v>720.66</v>
      </c>
      <c r="I326" s="301">
        <v>615.0</v>
      </c>
      <c r="J326" s="302"/>
      <c r="K326" s="302"/>
      <c r="L326" s="303">
        <f t="shared" si="18"/>
        <v>-0.171804878</v>
      </c>
      <c r="M326" s="304">
        <v>5.0</v>
      </c>
      <c r="N326" s="305">
        <v>0.0</v>
      </c>
      <c r="O326" s="306" t="s">
        <v>28</v>
      </c>
      <c r="P326" s="307"/>
      <c r="Q326" s="308"/>
      <c r="R326" s="309">
        <f t="shared" si="83"/>
        <v>0</v>
      </c>
      <c r="S326" s="310">
        <f t="shared" si="84"/>
        <v>0</v>
      </c>
      <c r="T326" s="311">
        <f t="shared" si="85"/>
        <v>0</v>
      </c>
      <c r="U326" s="312">
        <f t="shared" si="22"/>
        <v>0</v>
      </c>
      <c r="V326" s="313">
        <f t="shared" si="23"/>
        <v>0</v>
      </c>
      <c r="W326" s="314" t="str">
        <f t="shared" si="38"/>
        <v/>
      </c>
      <c r="X326" s="315" t="str">
        <f t="shared" si="86"/>
        <v>#VALUE!</v>
      </c>
      <c r="Y326" s="313" t="str">
        <f t="shared" si="87"/>
        <v>#REF!</v>
      </c>
      <c r="Z326" s="316" t="str">
        <f t="shared" si="8"/>
        <v/>
      </c>
      <c r="AA326" s="315">
        <f t="shared" si="9"/>
        <v>96</v>
      </c>
      <c r="AB326" s="315" t="str">
        <f t="shared" si="88"/>
        <v>#VALUE!</v>
      </c>
      <c r="AC326" s="313" t="str">
        <f t="shared" si="89"/>
        <v>#REF!</v>
      </c>
      <c r="AD326" s="317" t="str">
        <f t="shared" si="60"/>
        <v/>
      </c>
      <c r="AE326" s="315">
        <f t="shared" si="61"/>
        <v>300</v>
      </c>
      <c r="AF326" s="318"/>
      <c r="AG326" s="318"/>
      <c r="AH326" s="318"/>
      <c r="AI326" s="318"/>
      <c r="AJ326" s="318"/>
      <c r="AK326" s="318"/>
      <c r="AL326" s="228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</row>
    <row r="327" ht="18.0" customHeight="1">
      <c r="A327" s="218"/>
      <c r="B327" s="284">
        <v>45793.0</v>
      </c>
      <c r="C327" s="297" t="s">
        <v>91</v>
      </c>
      <c r="D327" s="298" t="s">
        <v>78</v>
      </c>
      <c r="E327" s="297" t="s">
        <v>26</v>
      </c>
      <c r="F327" s="297" t="s">
        <v>27</v>
      </c>
      <c r="G327" s="299">
        <v>45919.0</v>
      </c>
      <c r="H327" s="300">
        <f>IFERROR(__xludf.DUMMYFUNCTION("GOOGLEFINANCE(D327,""price"")"),720.66)</f>
        <v>720.66</v>
      </c>
      <c r="I327" s="301">
        <v>625.0</v>
      </c>
      <c r="J327" s="302"/>
      <c r="K327" s="302"/>
      <c r="L327" s="303">
        <f t="shared" si="18"/>
        <v>-0.153056</v>
      </c>
      <c r="M327" s="304">
        <v>1.0</v>
      </c>
      <c r="N327" s="305">
        <v>0.0</v>
      </c>
      <c r="O327" s="306" t="s">
        <v>28</v>
      </c>
      <c r="P327" s="307"/>
      <c r="Q327" s="308"/>
      <c r="R327" s="309">
        <f t="shared" si="83"/>
        <v>0</v>
      </c>
      <c r="S327" s="310">
        <f t="shared" si="84"/>
        <v>0</v>
      </c>
      <c r="T327" s="311">
        <f t="shared" si="85"/>
        <v>0</v>
      </c>
      <c r="U327" s="312">
        <f t="shared" si="22"/>
        <v>0</v>
      </c>
      <c r="V327" s="313">
        <f t="shared" si="23"/>
        <v>0</v>
      </c>
      <c r="W327" s="314" t="str">
        <f t="shared" si="38"/>
        <v/>
      </c>
      <c r="X327" s="315" t="str">
        <f t="shared" si="86"/>
        <v>#VALUE!</v>
      </c>
      <c r="Y327" s="313" t="str">
        <f t="shared" si="87"/>
        <v>#REF!</v>
      </c>
      <c r="Z327" s="316" t="str">
        <f t="shared" si="8"/>
        <v/>
      </c>
      <c r="AA327" s="315">
        <f t="shared" si="9"/>
        <v>126</v>
      </c>
      <c r="AB327" s="315" t="str">
        <f t="shared" si="88"/>
        <v>#VALUE!</v>
      </c>
      <c r="AC327" s="313" t="str">
        <f t="shared" si="89"/>
        <v>#REF!</v>
      </c>
      <c r="AD327" s="317" t="str">
        <f t="shared" si="60"/>
        <v/>
      </c>
      <c r="AE327" s="315">
        <f t="shared" si="61"/>
        <v>300</v>
      </c>
      <c r="AF327" s="318"/>
      <c r="AG327" s="318"/>
      <c r="AH327" s="318"/>
      <c r="AI327" s="318"/>
      <c r="AJ327" s="318"/>
      <c r="AK327" s="318"/>
      <c r="AL327" s="228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</row>
    <row r="328" ht="18.0" customHeight="1">
      <c r="A328" s="218"/>
      <c r="B328" s="284">
        <v>45720.0</v>
      </c>
      <c r="C328" s="297" t="s">
        <v>91</v>
      </c>
      <c r="D328" s="298" t="s">
        <v>78</v>
      </c>
      <c r="E328" s="297" t="s">
        <v>26</v>
      </c>
      <c r="F328" s="297" t="s">
        <v>27</v>
      </c>
      <c r="G328" s="299">
        <v>45828.0</v>
      </c>
      <c r="H328" s="300">
        <f>IFERROR(__xludf.DUMMYFUNCTION("GOOGLEFINANCE(D328,""price"")"),720.66)</f>
        <v>720.66</v>
      </c>
      <c r="I328" s="301">
        <v>605.0</v>
      </c>
      <c r="J328" s="302"/>
      <c r="K328" s="302"/>
      <c r="L328" s="303">
        <f t="shared" si="18"/>
        <v>-0.1911735537</v>
      </c>
      <c r="M328" s="304">
        <v>2.0</v>
      </c>
      <c r="N328" s="305">
        <v>0.0</v>
      </c>
      <c r="O328" s="306" t="s">
        <v>28</v>
      </c>
      <c r="P328" s="307"/>
      <c r="Q328" s="308"/>
      <c r="R328" s="309">
        <f t="shared" si="83"/>
        <v>0</v>
      </c>
      <c r="S328" s="310">
        <f t="shared" si="84"/>
        <v>0</v>
      </c>
      <c r="T328" s="311">
        <f t="shared" si="85"/>
        <v>0</v>
      </c>
      <c r="U328" s="312">
        <f t="shared" si="22"/>
        <v>0</v>
      </c>
      <c r="V328" s="313">
        <f t="shared" si="23"/>
        <v>0</v>
      </c>
      <c r="W328" s="314" t="str">
        <f t="shared" si="38"/>
        <v/>
      </c>
      <c r="X328" s="315" t="str">
        <f t="shared" si="86"/>
        <v>#VALUE!</v>
      </c>
      <c r="Y328" s="313" t="str">
        <f t="shared" si="87"/>
        <v>#REF!</v>
      </c>
      <c r="Z328" s="316" t="str">
        <f t="shared" si="8"/>
        <v/>
      </c>
      <c r="AA328" s="315">
        <f t="shared" si="9"/>
        <v>108</v>
      </c>
      <c r="AB328" s="315" t="str">
        <f t="shared" si="88"/>
        <v>#VALUE!</v>
      </c>
      <c r="AC328" s="313" t="str">
        <f t="shared" si="89"/>
        <v>#REF!</v>
      </c>
      <c r="AD328" s="317" t="str">
        <f t="shared" si="60"/>
        <v/>
      </c>
      <c r="AE328" s="315">
        <f t="shared" si="61"/>
        <v>373</v>
      </c>
      <c r="AF328" s="318"/>
      <c r="AG328" s="318"/>
      <c r="AH328" s="318"/>
      <c r="AI328" s="318"/>
      <c r="AJ328" s="318"/>
      <c r="AK328" s="318"/>
      <c r="AL328" s="228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</row>
    <row r="329" ht="18.0" customHeight="1">
      <c r="A329" s="218"/>
      <c r="B329" s="263"/>
      <c r="C329" s="265"/>
      <c r="D329" s="289"/>
      <c r="E329" s="289"/>
      <c r="F329" s="265"/>
      <c r="G329" s="266"/>
      <c r="H329" s="319"/>
      <c r="I329" s="268"/>
      <c r="J329" s="269"/>
      <c r="K329" s="269"/>
      <c r="L329" s="320"/>
      <c r="M329" s="321"/>
      <c r="N329" s="268"/>
      <c r="O329" s="322"/>
      <c r="P329" s="323"/>
      <c r="Q329" s="283"/>
      <c r="R329" s="324"/>
      <c r="S329" s="325"/>
      <c r="T329" s="326"/>
      <c r="U329" s="327"/>
      <c r="V329" s="328"/>
      <c r="W329" s="329"/>
      <c r="X329" s="330"/>
      <c r="Y329" s="328"/>
      <c r="Z329" s="331"/>
      <c r="AA329" s="330"/>
      <c r="AB329" s="255"/>
      <c r="AC329" s="328"/>
      <c r="AD329" s="331"/>
      <c r="AE329" s="330"/>
      <c r="AF329" s="283"/>
      <c r="AG329" s="283"/>
      <c r="AH329" s="283"/>
      <c r="AI329" s="283"/>
      <c r="AJ329" s="283"/>
      <c r="AK329" s="283"/>
      <c r="AL329" s="228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</row>
    <row r="330" ht="18.0" customHeight="1">
      <c r="A330" s="218"/>
      <c r="B330" s="263"/>
      <c r="C330" s="265"/>
      <c r="D330" s="289"/>
      <c r="E330" s="289"/>
      <c r="F330" s="265"/>
      <c r="G330" s="266"/>
      <c r="H330" s="319"/>
      <c r="I330" s="268"/>
      <c r="J330" s="269"/>
      <c r="K330" s="269"/>
      <c r="L330" s="320"/>
      <c r="M330" s="321"/>
      <c r="N330" s="268"/>
      <c r="O330" s="322"/>
      <c r="P330" s="323"/>
      <c r="Q330" s="283"/>
      <c r="R330" s="324"/>
      <c r="S330" s="325"/>
      <c r="T330" s="326"/>
      <c r="U330" s="327"/>
      <c r="V330" s="328"/>
      <c r="W330" s="329"/>
      <c r="X330" s="330"/>
      <c r="Y330" s="328"/>
      <c r="Z330" s="331"/>
      <c r="AA330" s="330"/>
      <c r="AB330" s="255"/>
      <c r="AC330" s="328"/>
      <c r="AD330" s="331"/>
      <c r="AE330" s="330"/>
      <c r="AF330" s="283"/>
      <c r="AG330" s="283"/>
      <c r="AH330" s="283"/>
      <c r="AI330" s="283"/>
      <c r="AJ330" s="283"/>
      <c r="AK330" s="283"/>
      <c r="AL330" s="228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</row>
    <row r="331" ht="18.0" customHeight="1">
      <c r="A331" s="218"/>
      <c r="B331" s="263"/>
      <c r="C331" s="265"/>
      <c r="D331" s="289"/>
      <c r="E331" s="289"/>
      <c r="F331" s="265"/>
      <c r="G331" s="266"/>
      <c r="H331" s="319"/>
      <c r="I331" s="268"/>
      <c r="J331" s="269"/>
      <c r="K331" s="269"/>
      <c r="L331" s="320"/>
      <c r="M331" s="321"/>
      <c r="N331" s="268"/>
      <c r="O331" s="322"/>
      <c r="P331" s="323"/>
      <c r="Q331" s="283"/>
      <c r="R331" s="324"/>
      <c r="S331" s="325"/>
      <c r="T331" s="326"/>
      <c r="U331" s="327"/>
      <c r="V331" s="328"/>
      <c r="W331" s="329"/>
      <c r="X331" s="330"/>
      <c r="Y331" s="328"/>
      <c r="Z331" s="331"/>
      <c r="AA331" s="330"/>
      <c r="AB331" s="255"/>
      <c r="AC331" s="328"/>
      <c r="AD331" s="331"/>
      <c r="AE331" s="330"/>
      <c r="AF331" s="283"/>
      <c r="AG331" s="283"/>
      <c r="AH331" s="283"/>
      <c r="AI331" s="283"/>
      <c r="AJ331" s="283"/>
      <c r="AK331" s="283"/>
      <c r="AL331" s="228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</row>
    <row r="332" ht="18.0" customHeight="1">
      <c r="A332" s="218"/>
      <c r="B332" s="263"/>
      <c r="C332" s="265"/>
      <c r="D332" s="289"/>
      <c r="E332" s="289"/>
      <c r="F332" s="265"/>
      <c r="G332" s="266"/>
      <c r="H332" s="319"/>
      <c r="I332" s="268"/>
      <c r="J332" s="269"/>
      <c r="K332" s="269"/>
      <c r="L332" s="320"/>
      <c r="M332" s="321"/>
      <c r="N332" s="268"/>
      <c r="O332" s="322"/>
      <c r="P332" s="323"/>
      <c r="Q332" s="283"/>
      <c r="R332" s="324"/>
      <c r="S332" s="325"/>
      <c r="T332" s="326"/>
      <c r="U332" s="327"/>
      <c r="V332" s="328"/>
      <c r="W332" s="329"/>
      <c r="X332" s="330"/>
      <c r="Y332" s="328"/>
      <c r="Z332" s="331"/>
      <c r="AA332" s="330"/>
      <c r="AB332" s="255"/>
      <c r="AC332" s="328"/>
      <c r="AD332" s="331"/>
      <c r="AE332" s="330"/>
      <c r="AF332" s="283"/>
      <c r="AG332" s="283"/>
      <c r="AH332" s="283"/>
      <c r="AI332" s="283"/>
      <c r="AJ332" s="283"/>
      <c r="AK332" s="283"/>
      <c r="AL332" s="228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</row>
    <row r="333" ht="18.0" customHeight="1">
      <c r="A333" s="218"/>
      <c r="B333" s="263"/>
      <c r="C333" s="265"/>
      <c r="D333" s="289"/>
      <c r="E333" s="289"/>
      <c r="F333" s="265"/>
      <c r="G333" s="266"/>
      <c r="H333" s="319"/>
      <c r="I333" s="268"/>
      <c r="J333" s="269"/>
      <c r="K333" s="269"/>
      <c r="L333" s="320"/>
      <c r="M333" s="321"/>
      <c r="N333" s="268"/>
      <c r="O333" s="322"/>
      <c r="P333" s="323"/>
      <c r="Q333" s="283"/>
      <c r="R333" s="324"/>
      <c r="S333" s="325"/>
      <c r="T333" s="326"/>
      <c r="U333" s="327"/>
      <c r="V333" s="328"/>
      <c r="W333" s="329"/>
      <c r="X333" s="330"/>
      <c r="Y333" s="328"/>
      <c r="Z333" s="331"/>
      <c r="AA333" s="330"/>
      <c r="AB333" s="255"/>
      <c r="AC333" s="328"/>
      <c r="AD333" s="331"/>
      <c r="AE333" s="330"/>
      <c r="AF333" s="283"/>
      <c r="AG333" s="283"/>
      <c r="AH333" s="283"/>
      <c r="AI333" s="283"/>
      <c r="AJ333" s="283"/>
      <c r="AK333" s="283"/>
      <c r="AL333" s="228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</row>
    <row r="334" ht="18.0" customHeight="1">
      <c r="A334" s="218"/>
      <c r="B334" s="263"/>
      <c r="C334" s="265"/>
      <c r="D334" s="289"/>
      <c r="E334" s="289"/>
      <c r="F334" s="265"/>
      <c r="G334" s="266"/>
      <c r="H334" s="319"/>
      <c r="I334" s="268"/>
      <c r="J334" s="269"/>
      <c r="K334" s="269"/>
      <c r="L334" s="320"/>
      <c r="M334" s="321"/>
      <c r="N334" s="268"/>
      <c r="O334" s="322"/>
      <c r="P334" s="323"/>
      <c r="Q334" s="283"/>
      <c r="R334" s="324"/>
      <c r="S334" s="325"/>
      <c r="T334" s="326"/>
      <c r="U334" s="327"/>
      <c r="V334" s="328"/>
      <c r="W334" s="329"/>
      <c r="X334" s="330"/>
      <c r="Y334" s="328"/>
      <c r="Z334" s="331"/>
      <c r="AA334" s="330"/>
      <c r="AB334" s="255"/>
      <c r="AC334" s="328"/>
      <c r="AD334" s="331"/>
      <c r="AE334" s="330"/>
      <c r="AF334" s="283"/>
      <c r="AG334" s="283"/>
      <c r="AH334" s="283"/>
      <c r="AI334" s="283"/>
      <c r="AJ334" s="283"/>
      <c r="AK334" s="283"/>
      <c r="AL334" s="228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</row>
    <row r="335" ht="18.0" customHeight="1">
      <c r="A335" s="218"/>
      <c r="B335" s="263"/>
      <c r="C335" s="265"/>
      <c r="D335" s="289"/>
      <c r="E335" s="289"/>
      <c r="F335" s="265"/>
      <c r="G335" s="266"/>
      <c r="H335" s="319"/>
      <c r="I335" s="268"/>
      <c r="J335" s="269"/>
      <c r="K335" s="269"/>
      <c r="L335" s="320"/>
      <c r="M335" s="321"/>
      <c r="N335" s="268"/>
      <c r="O335" s="322"/>
      <c r="P335" s="323"/>
      <c r="Q335" s="283"/>
      <c r="R335" s="324"/>
      <c r="S335" s="325"/>
      <c r="T335" s="326"/>
      <c r="U335" s="327"/>
      <c r="V335" s="328"/>
      <c r="W335" s="329"/>
      <c r="X335" s="330"/>
      <c r="Y335" s="328"/>
      <c r="Z335" s="331"/>
      <c r="AA335" s="330"/>
      <c r="AB335" s="255"/>
      <c r="AC335" s="328"/>
      <c r="AD335" s="331"/>
      <c r="AE335" s="330"/>
      <c r="AF335" s="283"/>
      <c r="AG335" s="283"/>
      <c r="AH335" s="283"/>
      <c r="AI335" s="283"/>
      <c r="AJ335" s="283"/>
      <c r="AK335" s="283"/>
      <c r="AL335" s="228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</row>
    <row r="336" ht="18.0" customHeight="1">
      <c r="A336" s="218"/>
      <c r="B336" s="263"/>
      <c r="C336" s="265"/>
      <c r="D336" s="289"/>
      <c r="E336" s="289"/>
      <c r="F336" s="265"/>
      <c r="G336" s="266"/>
      <c r="H336" s="319"/>
      <c r="I336" s="268"/>
      <c r="J336" s="269"/>
      <c r="K336" s="269"/>
      <c r="L336" s="320"/>
      <c r="M336" s="321"/>
      <c r="N336" s="268"/>
      <c r="O336" s="322"/>
      <c r="P336" s="323"/>
      <c r="Q336" s="283"/>
      <c r="R336" s="324"/>
      <c r="S336" s="325"/>
      <c r="T336" s="326"/>
      <c r="U336" s="327"/>
      <c r="V336" s="328"/>
      <c r="W336" s="329"/>
      <c r="X336" s="330"/>
      <c r="Y336" s="328"/>
      <c r="Z336" s="331"/>
      <c r="AA336" s="330"/>
      <c r="AB336" s="255"/>
      <c r="AC336" s="328"/>
      <c r="AD336" s="331"/>
      <c r="AE336" s="330"/>
      <c r="AF336" s="283"/>
      <c r="AG336" s="283"/>
      <c r="AH336" s="283"/>
      <c r="AI336" s="283"/>
      <c r="AJ336" s="283"/>
      <c r="AK336" s="283"/>
      <c r="AL336" s="228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</row>
    <row r="337" ht="18.0" customHeight="1">
      <c r="A337" s="218"/>
      <c r="B337" s="332"/>
      <c r="C337" s="333"/>
      <c r="D337" s="333"/>
      <c r="E337" s="334"/>
      <c r="F337" s="334"/>
      <c r="G337" s="335"/>
      <c r="H337" s="336"/>
      <c r="I337" s="337"/>
      <c r="J337" s="338"/>
      <c r="K337" s="339"/>
      <c r="L337" s="339"/>
      <c r="M337" s="339"/>
      <c r="N337" s="340"/>
      <c r="O337" s="341"/>
      <c r="P337" s="335"/>
      <c r="Q337" s="342"/>
      <c r="R337" s="343" t="str">
        <f>if(N337="","",N337*(1-$T$2))</f>
        <v/>
      </c>
      <c r="S337" s="344" t="str">
        <f>IF(B337="","",IF(AND(E337="Stock",F337="Buy"),(100*((M337*N337)*-1)),IF(AND(E337="Call",F337="Buy"),(100*((M337*N337)*-1)),IF(AND(E337="PUT",F337="Buy"),(100*((M337*N337)*-1)),100*(M337*N337)))))</f>
        <v/>
      </c>
      <c r="T337" s="345" t="str">
        <f>IF(B337="","",IF(AND(E337="Stock",F337="Buy"),(100*((M337*Q337)*1)),IF(AND(E337="Call",F337="Buy"),(100*((M337*Q337)*1)),IF(AND(E337="PUT",F337="Buy"),(100*((M337*Q337)*1)),(100*(M337*Q337))*-1))))</f>
        <v/>
      </c>
      <c r="U337" s="344" t="str">
        <f>IF(S337="","",S337+T337)</f>
        <v/>
      </c>
      <c r="V337" s="346" t="str">
        <f>if(N337="","",N337/I337)</f>
        <v/>
      </c>
      <c r="W337" s="347" t="str">
        <f>IFERROR(__xludf.DUMMYFUNCTION("if(D337="""","""",SPLIT(INDEX(IMPORTHTML(concatenate(""https://finance.yahoo.com/quote/"",D337),""table"",2),6,2),"" ""))"),"")</f>
        <v/>
      </c>
      <c r="X337" s="347"/>
      <c r="Y337" s="347" t="str">
        <f>if(iserror(W337/H337),"",W337/H337)</f>
        <v/>
      </c>
      <c r="Z337" s="347" t="str">
        <f>if(G337-today()&lt;0,"",G337-today())</f>
        <v/>
      </c>
      <c r="AA337" s="347" t="str">
        <f>IF(AND(B337="",P337=""),"",IF(P337="",TODAY()-B337,P337-B337))</f>
        <v/>
      </c>
      <c r="AB337" s="224"/>
      <c r="AC337" s="225"/>
      <c r="AD337" s="226"/>
      <c r="AE337" s="225"/>
      <c r="AF337" s="227"/>
      <c r="AG337" s="227"/>
      <c r="AH337" s="227"/>
      <c r="AI337" s="227"/>
      <c r="AJ337" s="227"/>
      <c r="AK337" s="227"/>
      <c r="AL337" s="228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</row>
    <row r="338" ht="18.0" customHeight="1">
      <c r="A338" s="348"/>
      <c r="B338" s="349"/>
      <c r="C338" s="350"/>
      <c r="D338" s="350"/>
      <c r="E338" s="350"/>
      <c r="F338" s="350"/>
      <c r="G338" s="349"/>
      <c r="H338" s="350"/>
      <c r="I338" s="350"/>
      <c r="J338" s="350"/>
      <c r="K338" s="350"/>
      <c r="L338" s="350"/>
      <c r="M338" s="350"/>
      <c r="N338" s="350"/>
      <c r="O338" s="351"/>
      <c r="P338" s="351"/>
      <c r="Q338" s="351"/>
      <c r="R338" s="351"/>
      <c r="S338" s="351"/>
      <c r="T338" s="351"/>
      <c r="U338" s="352">
        <f>SUM(U7:U337)</f>
        <v>91162</v>
      </c>
      <c r="V338" s="351"/>
      <c r="W338" s="351"/>
      <c r="X338" s="351"/>
      <c r="Y338" s="351"/>
      <c r="Z338" s="351"/>
      <c r="AA338" s="351"/>
      <c r="AB338" s="353"/>
      <c r="AC338" s="354"/>
      <c r="AD338" s="354"/>
      <c r="AE338" s="354"/>
      <c r="AF338" s="354"/>
      <c r="AG338" s="354"/>
      <c r="AH338" s="354"/>
      <c r="AI338" s="354"/>
      <c r="AJ338" s="354"/>
      <c r="AK338" s="354"/>
      <c r="AL338" s="355"/>
      <c r="AM338" s="356"/>
      <c r="AN338" s="356"/>
      <c r="AO338" s="356"/>
      <c r="AP338" s="356"/>
      <c r="AQ338" s="356"/>
      <c r="AR338" s="356"/>
      <c r="AS338" s="356"/>
      <c r="AT338" s="356"/>
      <c r="AU338" s="356"/>
      <c r="AV338" s="356"/>
      <c r="AW338" s="356"/>
      <c r="AX338" s="356"/>
      <c r="AY338" s="356"/>
      <c r="AZ338" s="356"/>
      <c r="BA338" s="356"/>
    </row>
    <row r="339" ht="18.0" customHeight="1">
      <c r="A339" s="109"/>
      <c r="B339" s="154" t="s">
        <v>48</v>
      </c>
      <c r="C339" s="3"/>
      <c r="D339" s="3"/>
      <c r="E339" s="3"/>
      <c r="F339" s="3"/>
      <c r="G339" s="3"/>
      <c r="H339" s="155" t="s">
        <v>49</v>
      </c>
      <c r="I339" s="114"/>
      <c r="J339" s="114"/>
      <c r="K339" s="114"/>
      <c r="L339" s="114"/>
      <c r="M339" s="114"/>
      <c r="N339" s="114"/>
      <c r="O339" s="110"/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  <c r="Z339" s="110"/>
      <c r="AA339" s="110"/>
      <c r="AB339" s="112"/>
      <c r="AC339" s="5"/>
      <c r="AD339" s="5"/>
      <c r="AE339" s="5"/>
      <c r="AF339" s="5"/>
      <c r="AG339" s="5"/>
      <c r="AH339" s="5"/>
      <c r="AI339" s="5"/>
      <c r="AJ339" s="5"/>
      <c r="AK339" s="5"/>
      <c r="AL339" s="112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</row>
    <row r="340" ht="18.0" customHeight="1">
      <c r="A340" s="109"/>
      <c r="B340" s="357"/>
      <c r="C340" s="115"/>
      <c r="D340" s="115"/>
      <c r="E340" s="115"/>
      <c r="F340" s="115"/>
      <c r="G340" s="113"/>
      <c r="H340" s="115"/>
      <c r="I340" s="115"/>
      <c r="J340" s="115"/>
      <c r="K340" s="115"/>
      <c r="L340" s="115"/>
      <c r="M340" s="115"/>
      <c r="N340" s="115"/>
      <c r="O340" s="110"/>
      <c r="P340" s="110"/>
      <c r="Q340" s="110"/>
      <c r="R340" s="110"/>
      <c r="S340" s="110"/>
      <c r="T340" s="110"/>
      <c r="U340" s="110"/>
      <c r="V340" s="110"/>
      <c r="W340" s="110"/>
      <c r="X340" s="110"/>
      <c r="Y340" s="110"/>
      <c r="Z340" s="110"/>
      <c r="AA340" s="110"/>
      <c r="AB340" s="112"/>
      <c r="AC340" s="5"/>
      <c r="AD340" s="5"/>
      <c r="AE340" s="5"/>
      <c r="AF340" s="5"/>
      <c r="AG340" s="5"/>
      <c r="AH340" s="5"/>
      <c r="AI340" s="5"/>
      <c r="AJ340" s="5"/>
      <c r="AK340" s="5"/>
      <c r="AL340" s="112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</row>
    <row r="341" ht="18.0" customHeight="1">
      <c r="A341" s="109"/>
      <c r="B341" s="113"/>
      <c r="C341" s="114"/>
      <c r="D341" s="114"/>
      <c r="E341" s="114"/>
      <c r="F341" s="114"/>
      <c r="G341" s="113"/>
      <c r="H341" s="114"/>
      <c r="I341" s="114"/>
      <c r="J341" s="114"/>
      <c r="K341" s="114"/>
      <c r="L341" s="114"/>
      <c r="M341" s="114"/>
      <c r="N341" s="114"/>
      <c r="O341" s="110"/>
      <c r="P341" s="110"/>
      <c r="Q341" s="110"/>
      <c r="R341" s="110"/>
      <c r="S341" s="110"/>
      <c r="T341" s="110"/>
      <c r="U341" s="110"/>
      <c r="V341" s="110"/>
      <c r="W341" s="110"/>
      <c r="X341" s="110"/>
      <c r="Y341" s="110"/>
      <c r="Z341" s="110"/>
      <c r="AA341" s="110"/>
      <c r="AB341" s="112"/>
      <c r="AC341" s="5"/>
      <c r="AD341" s="5"/>
      <c r="AE341" s="5"/>
      <c r="AF341" s="5"/>
      <c r="AG341" s="5"/>
      <c r="AH341" s="5"/>
      <c r="AI341" s="5"/>
      <c r="AJ341" s="5"/>
      <c r="AK341" s="5"/>
      <c r="AL341" s="112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</row>
    <row r="342" ht="18.0" customHeight="1">
      <c r="A342" s="109"/>
      <c r="B342" s="113"/>
      <c r="C342" s="114"/>
      <c r="D342" s="114"/>
      <c r="E342" s="114"/>
      <c r="F342" s="114"/>
      <c r="G342" s="113"/>
      <c r="H342" s="114"/>
      <c r="I342" s="114"/>
      <c r="J342" s="114"/>
      <c r="K342" s="114"/>
      <c r="L342" s="114"/>
      <c r="M342" s="114"/>
      <c r="N342" s="114"/>
      <c r="O342" s="110"/>
      <c r="P342" s="110"/>
      <c r="Q342" s="110"/>
      <c r="R342" s="110"/>
      <c r="S342" s="110"/>
      <c r="T342" s="110"/>
      <c r="U342" s="110"/>
      <c r="V342" s="110"/>
      <c r="W342" s="110"/>
      <c r="X342" s="110"/>
      <c r="Y342" s="110"/>
      <c r="Z342" s="110"/>
      <c r="AA342" s="110"/>
      <c r="AB342" s="112"/>
      <c r="AC342" s="5"/>
      <c r="AD342" s="5"/>
      <c r="AE342" s="5"/>
      <c r="AF342" s="5"/>
      <c r="AG342" s="5"/>
      <c r="AH342" s="5"/>
      <c r="AI342" s="5"/>
      <c r="AJ342" s="5"/>
      <c r="AK342" s="5"/>
      <c r="AL342" s="112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</row>
    <row r="343" ht="18.0" customHeight="1">
      <c r="A343" s="109"/>
      <c r="B343" s="113"/>
      <c r="C343" s="114"/>
      <c r="D343" s="114"/>
      <c r="E343" s="114"/>
      <c r="F343" s="114"/>
      <c r="G343" s="113"/>
      <c r="H343" s="114"/>
      <c r="I343" s="114"/>
      <c r="J343" s="114"/>
      <c r="K343" s="114"/>
      <c r="L343" s="114"/>
      <c r="M343" s="114"/>
      <c r="N343" s="114"/>
      <c r="O343" s="110"/>
      <c r="P343" s="110"/>
      <c r="Q343" s="110"/>
      <c r="R343" s="110"/>
      <c r="S343" s="110"/>
      <c r="T343" s="110"/>
      <c r="U343" s="110"/>
      <c r="V343" s="110"/>
      <c r="W343" s="110"/>
      <c r="X343" s="110"/>
      <c r="Y343" s="110"/>
      <c r="Z343" s="110"/>
      <c r="AA343" s="110"/>
      <c r="AB343" s="112"/>
      <c r="AC343" s="5"/>
      <c r="AD343" s="5"/>
      <c r="AE343" s="5"/>
      <c r="AF343" s="5"/>
      <c r="AG343" s="5"/>
      <c r="AH343" s="5"/>
      <c r="AI343" s="5"/>
      <c r="AJ343" s="5"/>
      <c r="AK343" s="5"/>
      <c r="AL343" s="112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</row>
    <row r="344" ht="18.0" customHeight="1">
      <c r="A344" s="109"/>
      <c r="B344" s="113"/>
      <c r="C344" s="114"/>
      <c r="D344" s="114"/>
      <c r="E344" s="114"/>
      <c r="F344" s="114"/>
      <c r="G344" s="113"/>
      <c r="H344" s="114"/>
      <c r="I344" s="114"/>
      <c r="J344" s="114"/>
      <c r="K344" s="114"/>
      <c r="L344" s="114"/>
      <c r="M344" s="114"/>
      <c r="N344" s="114"/>
      <c r="O344" s="110"/>
      <c r="P344" s="110"/>
      <c r="Q344" s="110"/>
      <c r="R344" s="110"/>
      <c r="S344" s="110"/>
      <c r="T344" s="110"/>
      <c r="U344" s="110"/>
      <c r="V344" s="110"/>
      <c r="W344" s="110"/>
      <c r="X344" s="110"/>
      <c r="Y344" s="110"/>
      <c r="Z344" s="110"/>
      <c r="AA344" s="110"/>
      <c r="AB344" s="112"/>
      <c r="AC344" s="5"/>
      <c r="AD344" s="5"/>
      <c r="AE344" s="5"/>
      <c r="AF344" s="5"/>
      <c r="AG344" s="5"/>
      <c r="AH344" s="5"/>
      <c r="AI344" s="5"/>
      <c r="AJ344" s="5"/>
      <c r="AK344" s="5"/>
      <c r="AL344" s="112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</row>
    <row r="345" ht="18.0" customHeight="1">
      <c r="A345" s="109"/>
      <c r="B345" s="113"/>
      <c r="C345" s="114"/>
      <c r="D345" s="114"/>
      <c r="E345" s="114"/>
      <c r="F345" s="114"/>
      <c r="G345" s="113"/>
      <c r="H345" s="114"/>
      <c r="I345" s="114"/>
      <c r="J345" s="114"/>
      <c r="K345" s="114"/>
      <c r="L345" s="114"/>
      <c r="M345" s="114"/>
      <c r="N345" s="114"/>
      <c r="O345" s="110"/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  <c r="AA345" s="110"/>
      <c r="AB345" s="112"/>
      <c r="AC345" s="5"/>
      <c r="AD345" s="5"/>
      <c r="AE345" s="5"/>
      <c r="AF345" s="5"/>
      <c r="AG345" s="5"/>
      <c r="AH345" s="5"/>
      <c r="AI345" s="5"/>
      <c r="AJ345" s="5"/>
      <c r="AK345" s="5"/>
      <c r="AL345" s="112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</row>
    <row r="346" ht="18.0" customHeight="1">
      <c r="A346" s="109"/>
      <c r="B346" s="113"/>
      <c r="C346" s="114"/>
      <c r="D346" s="114"/>
      <c r="E346" s="114"/>
      <c r="F346" s="114"/>
      <c r="G346" s="113"/>
      <c r="H346" s="114"/>
      <c r="I346" s="114"/>
      <c r="J346" s="114"/>
      <c r="K346" s="114"/>
      <c r="L346" s="114"/>
      <c r="M346" s="114"/>
      <c r="N346" s="114"/>
      <c r="O346" s="110"/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  <c r="AA346" s="110"/>
      <c r="AB346" s="112"/>
      <c r="AC346" s="5"/>
      <c r="AD346" s="5"/>
      <c r="AE346" s="5"/>
      <c r="AF346" s="5"/>
      <c r="AG346" s="5"/>
      <c r="AH346" s="5"/>
      <c r="AI346" s="5"/>
      <c r="AJ346" s="5"/>
      <c r="AK346" s="5"/>
      <c r="AL346" s="112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</row>
    <row r="347" ht="18.0" customHeight="1">
      <c r="A347" s="109"/>
      <c r="B347" s="113"/>
      <c r="C347" s="114"/>
      <c r="D347" s="114"/>
      <c r="E347" s="114"/>
      <c r="F347" s="114"/>
      <c r="G347" s="113"/>
      <c r="H347" s="114"/>
      <c r="I347" s="114"/>
      <c r="J347" s="114"/>
      <c r="K347" s="114"/>
      <c r="L347" s="114"/>
      <c r="M347" s="114"/>
      <c r="N347" s="114"/>
      <c r="O347" s="110"/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  <c r="AA347" s="110"/>
      <c r="AB347" s="112"/>
      <c r="AC347" s="5"/>
      <c r="AD347" s="5"/>
      <c r="AE347" s="5"/>
      <c r="AF347" s="5"/>
      <c r="AG347" s="5"/>
      <c r="AH347" s="5"/>
      <c r="AI347" s="5"/>
      <c r="AJ347" s="5"/>
      <c r="AK347" s="5"/>
      <c r="AL347" s="112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</row>
    <row r="348" ht="18.0" customHeight="1">
      <c r="A348" s="109"/>
      <c r="B348" s="113"/>
      <c r="C348" s="114"/>
      <c r="D348" s="114"/>
      <c r="E348" s="114"/>
      <c r="F348" s="114"/>
      <c r="G348" s="113"/>
      <c r="H348" s="114"/>
      <c r="I348" s="114"/>
      <c r="J348" s="114"/>
      <c r="K348" s="114"/>
      <c r="L348" s="114"/>
      <c r="M348" s="114"/>
      <c r="N348" s="114"/>
      <c r="O348" s="110"/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  <c r="AA348" s="110"/>
      <c r="AB348" s="112"/>
      <c r="AC348" s="5"/>
      <c r="AD348" s="5"/>
      <c r="AE348" s="5"/>
      <c r="AF348" s="5"/>
      <c r="AG348" s="5"/>
      <c r="AH348" s="5"/>
      <c r="AI348" s="5"/>
      <c r="AJ348" s="5"/>
      <c r="AK348" s="5"/>
      <c r="AL348" s="112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</row>
    <row r="349" ht="18.0" customHeight="1">
      <c r="A349" s="109"/>
      <c r="B349" s="113"/>
      <c r="C349" s="114"/>
      <c r="D349" s="114"/>
      <c r="E349" s="114"/>
      <c r="F349" s="114"/>
      <c r="G349" s="113"/>
      <c r="H349" s="114"/>
      <c r="I349" s="114"/>
      <c r="J349" s="114"/>
      <c r="K349" s="114"/>
      <c r="L349" s="114"/>
      <c r="M349" s="114"/>
      <c r="N349" s="114"/>
      <c r="O349" s="110"/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  <c r="Z349" s="110"/>
      <c r="AA349" s="110"/>
      <c r="AB349" s="112"/>
      <c r="AC349" s="5"/>
      <c r="AD349" s="5"/>
      <c r="AE349" s="5"/>
      <c r="AF349" s="5"/>
      <c r="AG349" s="5"/>
      <c r="AH349" s="5"/>
      <c r="AI349" s="5"/>
      <c r="AJ349" s="5"/>
      <c r="AK349" s="5"/>
      <c r="AL349" s="112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</row>
    <row r="350" ht="18.0" customHeight="1">
      <c r="A350" s="109"/>
      <c r="B350" s="113"/>
      <c r="C350" s="114"/>
      <c r="D350" s="114"/>
      <c r="E350" s="114"/>
      <c r="F350" s="114"/>
      <c r="G350" s="113"/>
      <c r="H350" s="114"/>
      <c r="I350" s="114"/>
      <c r="J350" s="114"/>
      <c r="K350" s="114"/>
      <c r="L350" s="114"/>
      <c r="M350" s="114"/>
      <c r="N350" s="114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2"/>
      <c r="AC350" s="5"/>
      <c r="AD350" s="5"/>
      <c r="AE350" s="5"/>
      <c r="AF350" s="5"/>
      <c r="AG350" s="5"/>
      <c r="AH350" s="5"/>
      <c r="AI350" s="5"/>
      <c r="AJ350" s="5"/>
      <c r="AK350" s="5"/>
      <c r="AL350" s="112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</row>
    <row r="351" ht="18.0" customHeight="1">
      <c r="A351" s="109"/>
      <c r="B351" s="113"/>
      <c r="C351" s="114"/>
      <c r="D351" s="114"/>
      <c r="E351" s="114"/>
      <c r="F351" s="114"/>
      <c r="G351" s="113"/>
      <c r="H351" s="114"/>
      <c r="I351" s="114"/>
      <c r="J351" s="114"/>
      <c r="K351" s="114"/>
      <c r="L351" s="114"/>
      <c r="M351" s="114"/>
      <c r="N351" s="114"/>
      <c r="O351" s="110"/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  <c r="Z351" s="110"/>
      <c r="AA351" s="110"/>
      <c r="AB351" s="112"/>
      <c r="AC351" s="5"/>
      <c r="AD351" s="5"/>
      <c r="AE351" s="5"/>
      <c r="AF351" s="5"/>
      <c r="AG351" s="5"/>
      <c r="AH351" s="5"/>
      <c r="AI351" s="5"/>
      <c r="AJ351" s="5"/>
      <c r="AK351" s="5"/>
      <c r="AL351" s="112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</row>
    <row r="352" ht="18.0" customHeight="1">
      <c r="A352" s="109"/>
      <c r="B352" s="113"/>
      <c r="C352" s="114"/>
      <c r="D352" s="114"/>
      <c r="E352" s="114"/>
      <c r="F352" s="114"/>
      <c r="G352" s="113"/>
      <c r="H352" s="114"/>
      <c r="I352" s="114"/>
      <c r="J352" s="114"/>
      <c r="K352" s="114"/>
      <c r="L352" s="114"/>
      <c r="M352" s="114"/>
      <c r="N352" s="114"/>
      <c r="O352" s="110"/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  <c r="Z352" s="110"/>
      <c r="AA352" s="110"/>
      <c r="AB352" s="112"/>
      <c r="AC352" s="5"/>
      <c r="AD352" s="5"/>
      <c r="AE352" s="5"/>
      <c r="AF352" s="5"/>
      <c r="AG352" s="5"/>
      <c r="AH352" s="5"/>
      <c r="AI352" s="5"/>
      <c r="AJ352" s="5"/>
      <c r="AK352" s="5"/>
      <c r="AL352" s="112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</row>
    <row r="353" ht="18.0" customHeight="1">
      <c r="A353" s="109"/>
      <c r="B353" s="113"/>
      <c r="C353" s="114"/>
      <c r="D353" s="114"/>
      <c r="E353" s="114"/>
      <c r="F353" s="114"/>
      <c r="G353" s="113"/>
      <c r="H353" s="114"/>
      <c r="I353" s="114"/>
      <c r="J353" s="114"/>
      <c r="K353" s="114"/>
      <c r="L353" s="114"/>
      <c r="M353" s="114"/>
      <c r="N353" s="114"/>
      <c r="O353" s="110"/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  <c r="Z353" s="110"/>
      <c r="AA353" s="110"/>
      <c r="AB353" s="112"/>
      <c r="AC353" s="5"/>
      <c r="AD353" s="5"/>
      <c r="AE353" s="5"/>
      <c r="AF353" s="5"/>
      <c r="AG353" s="5"/>
      <c r="AH353" s="5"/>
      <c r="AI353" s="5"/>
      <c r="AJ353" s="5"/>
      <c r="AK353" s="5"/>
      <c r="AL353" s="112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</row>
    <row r="354" ht="18.0" customHeight="1">
      <c r="A354" s="109"/>
      <c r="B354" s="113"/>
      <c r="C354" s="114"/>
      <c r="D354" s="114"/>
      <c r="E354" s="114"/>
      <c r="F354" s="114"/>
      <c r="G354" s="113"/>
      <c r="H354" s="114"/>
      <c r="I354" s="114"/>
      <c r="J354" s="114"/>
      <c r="K354" s="114"/>
      <c r="L354" s="114"/>
      <c r="M354" s="114"/>
      <c r="N354" s="114"/>
      <c r="O354" s="110"/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  <c r="Z354" s="110"/>
      <c r="AA354" s="110"/>
      <c r="AB354" s="112"/>
      <c r="AC354" s="5"/>
      <c r="AD354" s="5"/>
      <c r="AE354" s="5"/>
      <c r="AF354" s="5"/>
      <c r="AG354" s="5"/>
      <c r="AH354" s="5"/>
      <c r="AI354" s="5"/>
      <c r="AJ354" s="5"/>
      <c r="AK354" s="5"/>
      <c r="AL354" s="112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</row>
    <row r="355" ht="18.0" customHeight="1">
      <c r="A355" s="109"/>
      <c r="B355" s="113"/>
      <c r="C355" s="114"/>
      <c r="D355" s="114"/>
      <c r="E355" s="114"/>
      <c r="F355" s="114"/>
      <c r="G355" s="113"/>
      <c r="H355" s="114"/>
      <c r="I355" s="114"/>
      <c r="J355" s="114"/>
      <c r="K355" s="114"/>
      <c r="L355" s="114"/>
      <c r="M355" s="114"/>
      <c r="N355" s="114"/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  <c r="AA355" s="110"/>
      <c r="AB355" s="112"/>
      <c r="AC355" s="5"/>
      <c r="AD355" s="5"/>
      <c r="AE355" s="5"/>
      <c r="AF355" s="5"/>
      <c r="AG355" s="5"/>
      <c r="AH355" s="5"/>
      <c r="AI355" s="5"/>
      <c r="AJ355" s="5"/>
      <c r="AK355" s="5"/>
      <c r="AL355" s="112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</row>
    <row r="356" ht="18.0" customHeight="1">
      <c r="A356" s="109"/>
      <c r="B356" s="113"/>
      <c r="C356" s="114"/>
      <c r="D356" s="114"/>
      <c r="E356" s="114"/>
      <c r="F356" s="114"/>
      <c r="G356" s="113"/>
      <c r="H356" s="114"/>
      <c r="I356" s="114"/>
      <c r="J356" s="114"/>
      <c r="K356" s="114"/>
      <c r="L356" s="114"/>
      <c r="M356" s="114"/>
      <c r="N356" s="114"/>
      <c r="O356" s="110"/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  <c r="Z356" s="110"/>
      <c r="AA356" s="110"/>
      <c r="AB356" s="112"/>
      <c r="AC356" s="5"/>
      <c r="AD356" s="5"/>
      <c r="AE356" s="5"/>
      <c r="AF356" s="5"/>
      <c r="AG356" s="5"/>
      <c r="AH356" s="5"/>
      <c r="AI356" s="5"/>
      <c r="AJ356" s="5"/>
      <c r="AK356" s="5"/>
      <c r="AL356" s="112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</row>
    <row r="357" ht="18.0" customHeight="1">
      <c r="A357" s="109"/>
      <c r="B357" s="113"/>
      <c r="C357" s="114"/>
      <c r="D357" s="114"/>
      <c r="E357" s="114"/>
      <c r="F357" s="114"/>
      <c r="G357" s="113"/>
      <c r="H357" s="114"/>
      <c r="I357" s="114"/>
      <c r="J357" s="114"/>
      <c r="K357" s="114"/>
      <c r="L357" s="114"/>
      <c r="M357" s="114"/>
      <c r="N357" s="114"/>
      <c r="O357" s="110"/>
      <c r="P357" s="110"/>
      <c r="Q357" s="110"/>
      <c r="R357" s="110"/>
      <c r="S357" s="110"/>
      <c r="T357" s="110"/>
      <c r="U357" s="110"/>
      <c r="V357" s="110"/>
      <c r="W357" s="110"/>
      <c r="X357" s="110"/>
      <c r="Y357" s="110"/>
      <c r="Z357" s="110"/>
      <c r="AA357" s="110"/>
      <c r="AB357" s="112"/>
      <c r="AC357" s="5"/>
      <c r="AD357" s="5"/>
      <c r="AE357" s="5"/>
      <c r="AF357" s="5"/>
      <c r="AG357" s="5"/>
      <c r="AH357" s="5"/>
      <c r="AI357" s="5"/>
      <c r="AJ357" s="5"/>
      <c r="AK357" s="5"/>
      <c r="AL357" s="112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</row>
    <row r="358" ht="18.0" customHeight="1">
      <c r="A358" s="109"/>
      <c r="B358" s="113"/>
      <c r="C358" s="114"/>
      <c r="D358" s="114"/>
      <c r="E358" s="114"/>
      <c r="F358" s="114"/>
      <c r="G358" s="113"/>
      <c r="H358" s="114"/>
      <c r="I358" s="114"/>
      <c r="J358" s="114"/>
      <c r="K358" s="114"/>
      <c r="L358" s="114"/>
      <c r="M358" s="114"/>
      <c r="N358" s="114"/>
      <c r="O358" s="110"/>
      <c r="P358" s="110"/>
      <c r="Q358" s="110"/>
      <c r="R358" s="110"/>
      <c r="S358" s="110"/>
      <c r="T358" s="110"/>
      <c r="U358" s="110"/>
      <c r="V358" s="110"/>
      <c r="W358" s="110"/>
      <c r="X358" s="110"/>
      <c r="Y358" s="110"/>
      <c r="Z358" s="110"/>
      <c r="AA358" s="110"/>
      <c r="AB358" s="112"/>
      <c r="AC358" s="5"/>
      <c r="AD358" s="5"/>
      <c r="AE358" s="5"/>
      <c r="AF358" s="5"/>
      <c r="AG358" s="5"/>
      <c r="AH358" s="5"/>
      <c r="AI358" s="5"/>
      <c r="AJ358" s="5"/>
      <c r="AK358" s="5"/>
      <c r="AL358" s="112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</row>
    <row r="359" ht="18.0" customHeight="1">
      <c r="A359" s="109"/>
      <c r="B359" s="113"/>
      <c r="C359" s="114"/>
      <c r="D359" s="114"/>
      <c r="E359" s="114"/>
      <c r="F359" s="114"/>
      <c r="G359" s="113"/>
      <c r="H359" s="114"/>
      <c r="I359" s="114"/>
      <c r="J359" s="114"/>
      <c r="K359" s="114"/>
      <c r="L359" s="114"/>
      <c r="M359" s="114"/>
      <c r="N359" s="114"/>
      <c r="O359" s="110"/>
      <c r="P359" s="110"/>
      <c r="Q359" s="110"/>
      <c r="R359" s="110"/>
      <c r="S359" s="110"/>
      <c r="T359" s="110"/>
      <c r="U359" s="110"/>
      <c r="V359" s="110"/>
      <c r="W359" s="110"/>
      <c r="X359" s="110"/>
      <c r="Y359" s="110"/>
      <c r="Z359" s="110"/>
      <c r="AA359" s="110"/>
      <c r="AB359" s="112"/>
      <c r="AC359" s="5"/>
      <c r="AD359" s="5"/>
      <c r="AE359" s="5"/>
      <c r="AF359" s="5"/>
      <c r="AG359" s="5"/>
      <c r="AH359" s="5"/>
      <c r="AI359" s="5"/>
      <c r="AJ359" s="5"/>
      <c r="AK359" s="5"/>
      <c r="AL359" s="112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</row>
    <row r="360" ht="18.0" customHeight="1">
      <c r="A360" s="109"/>
      <c r="B360" s="113"/>
      <c r="C360" s="114"/>
      <c r="D360" s="114"/>
      <c r="E360" s="114"/>
      <c r="F360" s="114"/>
      <c r="G360" s="113"/>
      <c r="H360" s="114"/>
      <c r="I360" s="114"/>
      <c r="J360" s="114"/>
      <c r="K360" s="114"/>
      <c r="L360" s="114"/>
      <c r="M360" s="114"/>
      <c r="N360" s="114"/>
      <c r="O360" s="110"/>
      <c r="P360" s="110"/>
      <c r="Q360" s="110"/>
      <c r="R360" s="110"/>
      <c r="S360" s="110"/>
      <c r="T360" s="110"/>
      <c r="U360" s="110"/>
      <c r="V360" s="110"/>
      <c r="W360" s="110"/>
      <c r="X360" s="110"/>
      <c r="Y360" s="110"/>
      <c r="Z360" s="110"/>
      <c r="AA360" s="110"/>
      <c r="AB360" s="112"/>
      <c r="AC360" s="5"/>
      <c r="AD360" s="5"/>
      <c r="AE360" s="5"/>
      <c r="AF360" s="5"/>
      <c r="AG360" s="5"/>
      <c r="AH360" s="5"/>
      <c r="AI360" s="5"/>
      <c r="AJ360" s="5"/>
      <c r="AK360" s="5"/>
      <c r="AL360" s="112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</row>
    <row r="361" ht="18.0" customHeight="1">
      <c r="A361" s="109"/>
      <c r="B361" s="113"/>
      <c r="C361" s="114"/>
      <c r="D361" s="114"/>
      <c r="E361" s="114"/>
      <c r="F361" s="114"/>
      <c r="G361" s="113"/>
      <c r="H361" s="114"/>
      <c r="I361" s="114"/>
      <c r="J361" s="114"/>
      <c r="K361" s="114"/>
      <c r="L361" s="114"/>
      <c r="M361" s="114"/>
      <c r="N361" s="114"/>
      <c r="O361" s="110"/>
      <c r="P361" s="110"/>
      <c r="Q361" s="110"/>
      <c r="R361" s="110"/>
      <c r="S361" s="110"/>
      <c r="T361" s="110"/>
      <c r="U361" s="110"/>
      <c r="V361" s="110"/>
      <c r="W361" s="110"/>
      <c r="X361" s="110"/>
      <c r="Y361" s="110"/>
      <c r="Z361" s="110"/>
      <c r="AA361" s="110"/>
      <c r="AB361" s="112"/>
      <c r="AC361" s="5"/>
      <c r="AD361" s="5"/>
      <c r="AE361" s="5"/>
      <c r="AF361" s="5"/>
      <c r="AG361" s="5"/>
      <c r="AH361" s="5"/>
      <c r="AI361" s="5"/>
      <c r="AJ361" s="5"/>
      <c r="AK361" s="5"/>
      <c r="AL361" s="112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</row>
    <row r="362" ht="18.0" customHeight="1">
      <c r="A362" s="109"/>
      <c r="B362" s="113"/>
      <c r="C362" s="114"/>
      <c r="D362" s="114"/>
      <c r="E362" s="114"/>
      <c r="F362" s="114"/>
      <c r="G362" s="113"/>
      <c r="H362" s="114"/>
      <c r="I362" s="114"/>
      <c r="J362" s="114"/>
      <c r="K362" s="114"/>
      <c r="L362" s="114"/>
      <c r="M362" s="114"/>
      <c r="N362" s="114"/>
      <c r="O362" s="110"/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  <c r="Z362" s="110"/>
      <c r="AA362" s="110"/>
      <c r="AB362" s="112"/>
      <c r="AC362" s="5"/>
      <c r="AD362" s="5"/>
      <c r="AE362" s="5"/>
      <c r="AF362" s="5"/>
      <c r="AG362" s="5"/>
      <c r="AH362" s="5"/>
      <c r="AI362" s="5"/>
      <c r="AJ362" s="5"/>
      <c r="AK362" s="5"/>
      <c r="AL362" s="112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</row>
    <row r="363" ht="18.0" customHeight="1">
      <c r="A363" s="109"/>
      <c r="B363" s="113"/>
      <c r="C363" s="114"/>
      <c r="D363" s="114"/>
      <c r="E363" s="114"/>
      <c r="F363" s="114"/>
      <c r="G363" s="113"/>
      <c r="H363" s="114"/>
      <c r="I363" s="114"/>
      <c r="J363" s="114"/>
      <c r="K363" s="114"/>
      <c r="L363" s="114"/>
      <c r="M363" s="114"/>
      <c r="N363" s="114"/>
      <c r="O363" s="110"/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  <c r="Z363" s="110"/>
      <c r="AA363" s="110"/>
      <c r="AB363" s="112"/>
      <c r="AC363" s="5"/>
      <c r="AD363" s="5"/>
      <c r="AE363" s="5"/>
      <c r="AF363" s="5"/>
      <c r="AG363" s="5"/>
      <c r="AH363" s="5"/>
      <c r="AI363" s="5"/>
      <c r="AJ363" s="5"/>
      <c r="AK363" s="5"/>
      <c r="AL363" s="112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</row>
    <row r="364" ht="18.0" customHeight="1">
      <c r="A364" s="109"/>
      <c r="B364" s="113"/>
      <c r="C364" s="114"/>
      <c r="D364" s="114"/>
      <c r="E364" s="114"/>
      <c r="F364" s="114"/>
      <c r="G364" s="113"/>
      <c r="H364" s="114"/>
      <c r="I364" s="114"/>
      <c r="J364" s="114"/>
      <c r="K364" s="114"/>
      <c r="L364" s="114"/>
      <c r="M364" s="114"/>
      <c r="N364" s="114"/>
      <c r="O364" s="110"/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  <c r="Z364" s="110"/>
      <c r="AA364" s="110"/>
      <c r="AB364" s="112"/>
      <c r="AC364" s="5"/>
      <c r="AD364" s="5"/>
      <c r="AE364" s="5"/>
      <c r="AF364" s="5"/>
      <c r="AG364" s="5"/>
      <c r="AH364" s="5"/>
      <c r="AI364" s="5"/>
      <c r="AJ364" s="5"/>
      <c r="AK364" s="5"/>
      <c r="AL364" s="112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</row>
    <row r="365" ht="18.0" customHeight="1">
      <c r="A365" s="109"/>
      <c r="B365" s="113"/>
      <c r="C365" s="114"/>
      <c r="D365" s="114"/>
      <c r="E365" s="114"/>
      <c r="F365" s="114"/>
      <c r="G365" s="113"/>
      <c r="H365" s="114"/>
      <c r="I365" s="114"/>
      <c r="J365" s="114"/>
      <c r="K365" s="114"/>
      <c r="L365" s="114"/>
      <c r="M365" s="114"/>
      <c r="N365" s="114"/>
      <c r="O365" s="110"/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  <c r="Z365" s="110"/>
      <c r="AA365" s="110"/>
      <c r="AB365" s="112"/>
      <c r="AC365" s="5"/>
      <c r="AD365" s="5"/>
      <c r="AE365" s="5"/>
      <c r="AF365" s="5"/>
      <c r="AG365" s="5"/>
      <c r="AH365" s="5"/>
      <c r="AI365" s="5"/>
      <c r="AJ365" s="5"/>
      <c r="AK365" s="5"/>
      <c r="AL365" s="112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</row>
    <row r="366" ht="18.0" customHeight="1">
      <c r="A366" s="109"/>
      <c r="B366" s="113"/>
      <c r="C366" s="114"/>
      <c r="D366" s="114"/>
      <c r="E366" s="114"/>
      <c r="F366" s="114"/>
      <c r="G366" s="113"/>
      <c r="H366" s="114"/>
      <c r="I366" s="114"/>
      <c r="J366" s="114"/>
      <c r="K366" s="114"/>
      <c r="L366" s="114"/>
      <c r="M366" s="114"/>
      <c r="N366" s="114"/>
      <c r="O366" s="110"/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  <c r="Z366" s="110"/>
      <c r="AA366" s="110"/>
      <c r="AB366" s="112"/>
      <c r="AC366" s="5"/>
      <c r="AD366" s="5"/>
      <c r="AE366" s="5"/>
      <c r="AF366" s="5"/>
      <c r="AG366" s="5"/>
      <c r="AH366" s="5"/>
      <c r="AI366" s="5"/>
      <c r="AJ366" s="5"/>
      <c r="AK366" s="5"/>
      <c r="AL366" s="112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</row>
    <row r="367" ht="18.0" customHeight="1">
      <c r="A367" s="109"/>
      <c r="B367" s="113"/>
      <c r="C367" s="114"/>
      <c r="D367" s="114"/>
      <c r="E367" s="114"/>
      <c r="F367" s="114"/>
      <c r="G367" s="113"/>
      <c r="H367" s="114"/>
      <c r="I367" s="114"/>
      <c r="J367" s="114"/>
      <c r="K367" s="114"/>
      <c r="L367" s="114"/>
      <c r="M367" s="114"/>
      <c r="N367" s="114"/>
      <c r="O367" s="110"/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  <c r="Z367" s="110"/>
      <c r="AA367" s="110"/>
      <c r="AB367" s="112"/>
      <c r="AC367" s="5"/>
      <c r="AD367" s="5"/>
      <c r="AE367" s="5"/>
      <c r="AF367" s="5"/>
      <c r="AG367" s="5"/>
      <c r="AH367" s="5"/>
      <c r="AI367" s="5"/>
      <c r="AJ367" s="5"/>
      <c r="AK367" s="5"/>
      <c r="AL367" s="112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</row>
    <row r="368" ht="18.0" customHeight="1">
      <c r="A368" s="109"/>
      <c r="B368" s="113"/>
      <c r="C368" s="114"/>
      <c r="D368" s="114"/>
      <c r="E368" s="114"/>
      <c r="F368" s="114"/>
      <c r="G368" s="113"/>
      <c r="H368" s="114"/>
      <c r="I368" s="114"/>
      <c r="J368" s="114"/>
      <c r="K368" s="114"/>
      <c r="L368" s="114"/>
      <c r="M368" s="114"/>
      <c r="N368" s="114"/>
      <c r="O368" s="110"/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  <c r="Z368" s="110"/>
      <c r="AA368" s="110"/>
      <c r="AB368" s="112"/>
      <c r="AC368" s="5"/>
      <c r="AD368" s="5"/>
      <c r="AE368" s="5"/>
      <c r="AF368" s="5"/>
      <c r="AG368" s="5"/>
      <c r="AH368" s="5"/>
      <c r="AI368" s="5"/>
      <c r="AJ368" s="5"/>
      <c r="AK368" s="5"/>
      <c r="AL368" s="112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</row>
    <row r="369" ht="18.0" customHeight="1">
      <c r="A369" s="109"/>
      <c r="B369" s="113"/>
      <c r="C369" s="114"/>
      <c r="D369" s="114"/>
      <c r="E369" s="114"/>
      <c r="F369" s="114"/>
      <c r="G369" s="113"/>
      <c r="H369" s="114"/>
      <c r="I369" s="114"/>
      <c r="J369" s="114"/>
      <c r="K369" s="114"/>
      <c r="L369" s="114"/>
      <c r="M369" s="114"/>
      <c r="N369" s="114"/>
      <c r="O369" s="110"/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  <c r="Z369" s="110"/>
      <c r="AA369" s="110"/>
      <c r="AB369" s="112"/>
      <c r="AC369" s="5"/>
      <c r="AD369" s="5"/>
      <c r="AE369" s="5"/>
      <c r="AF369" s="5"/>
      <c r="AG369" s="5"/>
      <c r="AH369" s="5"/>
      <c r="AI369" s="5"/>
      <c r="AJ369" s="5"/>
      <c r="AK369" s="5"/>
      <c r="AL369" s="112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</row>
    <row r="370" ht="18.0" customHeight="1">
      <c r="A370" s="109"/>
      <c r="B370" s="113"/>
      <c r="C370" s="114"/>
      <c r="D370" s="114"/>
      <c r="E370" s="114"/>
      <c r="F370" s="114"/>
      <c r="G370" s="113"/>
      <c r="H370" s="114"/>
      <c r="I370" s="114"/>
      <c r="J370" s="114"/>
      <c r="K370" s="114"/>
      <c r="L370" s="114"/>
      <c r="M370" s="114"/>
      <c r="N370" s="114"/>
      <c r="O370" s="110"/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  <c r="AA370" s="110"/>
      <c r="AB370" s="112"/>
      <c r="AC370" s="5"/>
      <c r="AD370" s="5"/>
      <c r="AE370" s="5"/>
      <c r="AF370" s="5"/>
      <c r="AG370" s="5"/>
      <c r="AH370" s="5"/>
      <c r="AI370" s="5"/>
      <c r="AJ370" s="5"/>
      <c r="AK370" s="5"/>
      <c r="AL370" s="112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</row>
    <row r="371" ht="18.0" customHeight="1">
      <c r="A371" s="109"/>
      <c r="B371" s="113"/>
      <c r="C371" s="114"/>
      <c r="D371" s="114"/>
      <c r="E371" s="114"/>
      <c r="F371" s="114"/>
      <c r="G371" s="113"/>
      <c r="H371" s="114"/>
      <c r="I371" s="114"/>
      <c r="J371" s="114"/>
      <c r="K371" s="114"/>
      <c r="L371" s="114"/>
      <c r="M371" s="114"/>
      <c r="N371" s="114"/>
      <c r="O371" s="110"/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  <c r="AA371" s="110"/>
      <c r="AB371" s="112"/>
      <c r="AC371" s="5"/>
      <c r="AD371" s="5"/>
      <c r="AE371" s="5"/>
      <c r="AF371" s="5"/>
      <c r="AG371" s="5"/>
      <c r="AH371" s="5"/>
      <c r="AI371" s="5"/>
      <c r="AJ371" s="5"/>
      <c r="AK371" s="5"/>
      <c r="AL371" s="112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</row>
    <row r="372" ht="18.0" customHeight="1">
      <c r="A372" s="109"/>
      <c r="B372" s="113"/>
      <c r="C372" s="114"/>
      <c r="D372" s="114"/>
      <c r="E372" s="114"/>
      <c r="F372" s="114"/>
      <c r="G372" s="113"/>
      <c r="H372" s="114"/>
      <c r="I372" s="114"/>
      <c r="J372" s="114"/>
      <c r="K372" s="114"/>
      <c r="L372" s="114"/>
      <c r="M372" s="114"/>
      <c r="N372" s="114"/>
      <c r="O372" s="110"/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  <c r="AA372" s="110"/>
      <c r="AB372" s="112"/>
      <c r="AC372" s="5"/>
      <c r="AD372" s="5"/>
      <c r="AE372" s="5"/>
      <c r="AF372" s="5"/>
      <c r="AG372" s="5"/>
      <c r="AH372" s="5"/>
      <c r="AI372" s="5"/>
      <c r="AJ372" s="5"/>
      <c r="AK372" s="5"/>
      <c r="AL372" s="112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</row>
    <row r="373" ht="18.0" customHeight="1">
      <c r="A373" s="109"/>
      <c r="B373" s="113"/>
      <c r="C373" s="114"/>
      <c r="D373" s="114"/>
      <c r="E373" s="114"/>
      <c r="F373" s="114"/>
      <c r="G373" s="113"/>
      <c r="H373" s="114"/>
      <c r="I373" s="114"/>
      <c r="J373" s="114"/>
      <c r="K373" s="114"/>
      <c r="L373" s="114"/>
      <c r="M373" s="114"/>
      <c r="N373" s="114"/>
      <c r="O373" s="110"/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  <c r="AA373" s="110"/>
      <c r="AB373" s="112"/>
      <c r="AC373" s="5"/>
      <c r="AD373" s="5"/>
      <c r="AE373" s="5"/>
      <c r="AF373" s="5"/>
      <c r="AG373" s="5"/>
      <c r="AH373" s="5"/>
      <c r="AI373" s="5"/>
      <c r="AJ373" s="5"/>
      <c r="AK373" s="5"/>
      <c r="AL373" s="112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</row>
    <row r="374" ht="18.0" customHeight="1">
      <c r="A374" s="109"/>
      <c r="B374" s="113"/>
      <c r="C374" s="114"/>
      <c r="D374" s="114"/>
      <c r="E374" s="114"/>
      <c r="F374" s="114"/>
      <c r="G374" s="113"/>
      <c r="H374" s="114"/>
      <c r="I374" s="114"/>
      <c r="J374" s="114"/>
      <c r="K374" s="114"/>
      <c r="L374" s="114"/>
      <c r="M374" s="114"/>
      <c r="N374" s="114"/>
      <c r="O374" s="110"/>
      <c r="P374" s="110"/>
      <c r="Q374" s="110"/>
      <c r="R374" s="110"/>
      <c r="S374" s="110"/>
      <c r="T374" s="110"/>
      <c r="U374" s="110"/>
      <c r="V374" s="110"/>
      <c r="W374" s="110"/>
      <c r="X374" s="110"/>
      <c r="Y374" s="110"/>
      <c r="Z374" s="110"/>
      <c r="AA374" s="110"/>
      <c r="AB374" s="112"/>
      <c r="AC374" s="5"/>
      <c r="AD374" s="5"/>
      <c r="AE374" s="5"/>
      <c r="AF374" s="5"/>
      <c r="AG374" s="5"/>
      <c r="AH374" s="5"/>
      <c r="AI374" s="5"/>
      <c r="AJ374" s="5"/>
      <c r="AK374" s="5"/>
      <c r="AL374" s="112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</row>
    <row r="375" ht="18.0" customHeight="1">
      <c r="A375" s="109"/>
      <c r="B375" s="113"/>
      <c r="C375" s="114"/>
      <c r="D375" s="114"/>
      <c r="E375" s="114"/>
      <c r="F375" s="114"/>
      <c r="G375" s="113"/>
      <c r="H375" s="114"/>
      <c r="I375" s="114"/>
      <c r="J375" s="114"/>
      <c r="K375" s="114"/>
      <c r="L375" s="114"/>
      <c r="M375" s="114"/>
      <c r="N375" s="114"/>
      <c r="O375" s="110"/>
      <c r="P375" s="110"/>
      <c r="Q375" s="110"/>
      <c r="R375" s="110"/>
      <c r="S375" s="110"/>
      <c r="T375" s="110"/>
      <c r="U375" s="110"/>
      <c r="V375" s="110"/>
      <c r="W375" s="110"/>
      <c r="X375" s="110"/>
      <c r="Y375" s="110"/>
      <c r="Z375" s="110"/>
      <c r="AA375" s="110"/>
      <c r="AB375" s="112"/>
      <c r="AC375" s="5"/>
      <c r="AD375" s="5"/>
      <c r="AE375" s="5"/>
      <c r="AF375" s="5"/>
      <c r="AG375" s="5"/>
      <c r="AH375" s="5"/>
      <c r="AI375" s="5"/>
      <c r="AJ375" s="5"/>
      <c r="AK375" s="5"/>
      <c r="AL375" s="112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</row>
    <row r="376" ht="18.0" customHeight="1">
      <c r="A376" s="109"/>
      <c r="B376" s="113"/>
      <c r="C376" s="114"/>
      <c r="D376" s="114"/>
      <c r="E376" s="114"/>
      <c r="F376" s="114"/>
      <c r="G376" s="113"/>
      <c r="H376" s="114"/>
      <c r="I376" s="114"/>
      <c r="J376" s="114"/>
      <c r="K376" s="114"/>
      <c r="L376" s="114"/>
      <c r="M376" s="114"/>
      <c r="N376" s="114"/>
      <c r="O376" s="110"/>
      <c r="P376" s="110"/>
      <c r="Q376" s="110"/>
      <c r="R376" s="110"/>
      <c r="S376" s="110"/>
      <c r="T376" s="110"/>
      <c r="U376" s="110"/>
      <c r="V376" s="110"/>
      <c r="W376" s="110"/>
      <c r="X376" s="110"/>
      <c r="Y376" s="110"/>
      <c r="Z376" s="110"/>
      <c r="AA376" s="110"/>
      <c r="AB376" s="112"/>
      <c r="AC376" s="5"/>
      <c r="AD376" s="5"/>
      <c r="AE376" s="5"/>
      <c r="AF376" s="5"/>
      <c r="AG376" s="5"/>
      <c r="AH376" s="5"/>
      <c r="AI376" s="5"/>
      <c r="AJ376" s="5"/>
      <c r="AK376" s="5"/>
      <c r="AL376" s="112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</row>
    <row r="377" ht="18.0" customHeight="1">
      <c r="A377" s="109"/>
      <c r="B377" s="113"/>
      <c r="C377" s="114"/>
      <c r="D377" s="114"/>
      <c r="E377" s="114"/>
      <c r="F377" s="114"/>
      <c r="G377" s="113"/>
      <c r="H377" s="114"/>
      <c r="I377" s="114"/>
      <c r="J377" s="114"/>
      <c r="K377" s="114"/>
      <c r="L377" s="114"/>
      <c r="M377" s="114"/>
      <c r="N377" s="114"/>
      <c r="O377" s="110"/>
      <c r="P377" s="110"/>
      <c r="Q377" s="110"/>
      <c r="R377" s="110"/>
      <c r="S377" s="110"/>
      <c r="T377" s="110"/>
      <c r="U377" s="110"/>
      <c r="V377" s="110"/>
      <c r="W377" s="110"/>
      <c r="X377" s="110"/>
      <c r="Y377" s="110"/>
      <c r="Z377" s="110"/>
      <c r="AA377" s="110"/>
      <c r="AB377" s="112"/>
      <c r="AC377" s="5"/>
      <c r="AD377" s="5"/>
      <c r="AE377" s="5"/>
      <c r="AF377" s="5"/>
      <c r="AG377" s="5"/>
      <c r="AH377" s="5"/>
      <c r="AI377" s="5"/>
      <c r="AJ377" s="5"/>
      <c r="AK377" s="5"/>
      <c r="AL377" s="112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</row>
    <row r="378" ht="18.0" customHeight="1">
      <c r="A378" s="109"/>
      <c r="B378" s="113"/>
      <c r="C378" s="114"/>
      <c r="D378" s="114"/>
      <c r="E378" s="114"/>
      <c r="F378" s="114"/>
      <c r="G378" s="113"/>
      <c r="H378" s="114"/>
      <c r="I378" s="114"/>
      <c r="J378" s="114"/>
      <c r="K378" s="114"/>
      <c r="L378" s="114"/>
      <c r="M378" s="114"/>
      <c r="N378" s="114"/>
      <c r="O378" s="110"/>
      <c r="P378" s="110"/>
      <c r="Q378" s="110"/>
      <c r="R378" s="110"/>
      <c r="S378" s="110"/>
      <c r="T378" s="110"/>
      <c r="U378" s="110"/>
      <c r="V378" s="110"/>
      <c r="W378" s="110"/>
      <c r="X378" s="110"/>
      <c r="Y378" s="110"/>
      <c r="Z378" s="110"/>
      <c r="AA378" s="110"/>
      <c r="AB378" s="112"/>
      <c r="AC378" s="5"/>
      <c r="AD378" s="5"/>
      <c r="AE378" s="5"/>
      <c r="AF378" s="5"/>
      <c r="AG378" s="5"/>
      <c r="AH378" s="5"/>
      <c r="AI378" s="5"/>
      <c r="AJ378" s="5"/>
      <c r="AK378" s="5"/>
      <c r="AL378" s="112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</row>
    <row r="379" ht="18.0" customHeight="1">
      <c r="A379" s="109"/>
      <c r="B379" s="113"/>
      <c r="C379" s="114"/>
      <c r="D379" s="114"/>
      <c r="E379" s="114"/>
      <c r="F379" s="114"/>
      <c r="G379" s="113"/>
      <c r="H379" s="114"/>
      <c r="I379" s="114"/>
      <c r="J379" s="114"/>
      <c r="K379" s="114"/>
      <c r="L379" s="114"/>
      <c r="M379" s="114"/>
      <c r="N379" s="114"/>
      <c r="O379" s="110"/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  <c r="Z379" s="110"/>
      <c r="AA379" s="110"/>
      <c r="AB379" s="112"/>
      <c r="AC379" s="5"/>
      <c r="AD379" s="5"/>
      <c r="AE379" s="5"/>
      <c r="AF379" s="5"/>
      <c r="AG379" s="5"/>
      <c r="AH379" s="5"/>
      <c r="AI379" s="5"/>
      <c r="AJ379" s="5"/>
      <c r="AK379" s="5"/>
      <c r="AL379" s="112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</row>
    <row r="380" ht="18.0" customHeight="1">
      <c r="A380" s="109"/>
      <c r="B380" s="113"/>
      <c r="C380" s="114"/>
      <c r="D380" s="114"/>
      <c r="E380" s="114"/>
      <c r="F380" s="114"/>
      <c r="G380" s="113"/>
      <c r="H380" s="114"/>
      <c r="I380" s="114"/>
      <c r="J380" s="114"/>
      <c r="K380" s="114"/>
      <c r="L380" s="114"/>
      <c r="M380" s="114"/>
      <c r="N380" s="114"/>
      <c r="O380" s="110"/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  <c r="Z380" s="110"/>
      <c r="AA380" s="110"/>
      <c r="AB380" s="112"/>
      <c r="AC380" s="5"/>
      <c r="AD380" s="5"/>
      <c r="AE380" s="5"/>
      <c r="AF380" s="5"/>
      <c r="AG380" s="5"/>
      <c r="AH380" s="5"/>
      <c r="AI380" s="5"/>
      <c r="AJ380" s="5"/>
      <c r="AK380" s="5"/>
      <c r="AL380" s="112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</row>
    <row r="381" ht="18.0" customHeight="1">
      <c r="A381" s="109"/>
      <c r="B381" s="113"/>
      <c r="C381" s="114"/>
      <c r="D381" s="114"/>
      <c r="E381" s="114"/>
      <c r="F381" s="114"/>
      <c r="G381" s="113"/>
      <c r="H381" s="114"/>
      <c r="I381" s="114"/>
      <c r="J381" s="114"/>
      <c r="K381" s="114"/>
      <c r="L381" s="114"/>
      <c r="M381" s="114"/>
      <c r="N381" s="114"/>
      <c r="O381" s="110"/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  <c r="AA381" s="110"/>
      <c r="AB381" s="112"/>
      <c r="AC381" s="5"/>
      <c r="AD381" s="5"/>
      <c r="AE381" s="5"/>
      <c r="AF381" s="5"/>
      <c r="AG381" s="5"/>
      <c r="AH381" s="5"/>
      <c r="AI381" s="5"/>
      <c r="AJ381" s="5"/>
      <c r="AK381" s="5"/>
      <c r="AL381" s="112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</row>
    <row r="382" ht="18.0" customHeight="1">
      <c r="A382" s="109"/>
      <c r="B382" s="113"/>
      <c r="C382" s="114"/>
      <c r="D382" s="114"/>
      <c r="E382" s="114"/>
      <c r="F382" s="114"/>
      <c r="G382" s="113"/>
      <c r="H382" s="114"/>
      <c r="I382" s="114"/>
      <c r="J382" s="114"/>
      <c r="K382" s="114"/>
      <c r="L382" s="114"/>
      <c r="M382" s="114"/>
      <c r="N382" s="114"/>
      <c r="O382" s="110"/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  <c r="AA382" s="110"/>
      <c r="AB382" s="112"/>
      <c r="AC382" s="5"/>
      <c r="AD382" s="5"/>
      <c r="AE382" s="5"/>
      <c r="AF382" s="5"/>
      <c r="AG382" s="5"/>
      <c r="AH382" s="5"/>
      <c r="AI382" s="5"/>
      <c r="AJ382" s="5"/>
      <c r="AK382" s="5"/>
      <c r="AL382" s="112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</row>
    <row r="383" ht="18.0" customHeight="1">
      <c r="A383" s="109"/>
      <c r="B383" s="113"/>
      <c r="C383" s="114"/>
      <c r="D383" s="114"/>
      <c r="E383" s="114"/>
      <c r="F383" s="114"/>
      <c r="G383" s="113"/>
      <c r="H383" s="114"/>
      <c r="I383" s="114"/>
      <c r="J383" s="114"/>
      <c r="K383" s="114"/>
      <c r="L383" s="114"/>
      <c r="M383" s="114"/>
      <c r="N383" s="114"/>
      <c r="O383" s="110"/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  <c r="AA383" s="110"/>
      <c r="AB383" s="112"/>
      <c r="AC383" s="5"/>
      <c r="AD383" s="5"/>
      <c r="AE383" s="5"/>
      <c r="AF383" s="5"/>
      <c r="AG383" s="5"/>
      <c r="AH383" s="5"/>
      <c r="AI383" s="5"/>
      <c r="AJ383" s="5"/>
      <c r="AK383" s="5"/>
      <c r="AL383" s="112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</row>
    <row r="384" ht="18.0" customHeight="1">
      <c r="A384" s="109"/>
      <c r="B384" s="113"/>
      <c r="C384" s="114"/>
      <c r="D384" s="114"/>
      <c r="E384" s="114"/>
      <c r="F384" s="114"/>
      <c r="G384" s="113"/>
      <c r="H384" s="114"/>
      <c r="I384" s="114"/>
      <c r="J384" s="114"/>
      <c r="K384" s="114"/>
      <c r="L384" s="114"/>
      <c r="M384" s="114"/>
      <c r="N384" s="114"/>
      <c r="O384" s="110"/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  <c r="Z384" s="110"/>
      <c r="AA384" s="110"/>
      <c r="AB384" s="112"/>
      <c r="AC384" s="5"/>
      <c r="AD384" s="5"/>
      <c r="AE384" s="5"/>
      <c r="AF384" s="5"/>
      <c r="AG384" s="5"/>
      <c r="AH384" s="5"/>
      <c r="AI384" s="5"/>
      <c r="AJ384" s="5"/>
      <c r="AK384" s="5"/>
      <c r="AL384" s="112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</row>
    <row r="385" ht="18.0" customHeight="1">
      <c r="A385" s="109"/>
      <c r="B385" s="113"/>
      <c r="C385" s="114"/>
      <c r="D385" s="114"/>
      <c r="E385" s="114"/>
      <c r="F385" s="114"/>
      <c r="G385" s="113"/>
      <c r="H385" s="114"/>
      <c r="I385" s="114"/>
      <c r="J385" s="114"/>
      <c r="K385" s="114"/>
      <c r="L385" s="114"/>
      <c r="M385" s="114"/>
      <c r="N385" s="114"/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  <c r="AA385" s="110"/>
      <c r="AB385" s="112"/>
      <c r="AC385" s="5"/>
      <c r="AD385" s="5"/>
      <c r="AE385" s="5"/>
      <c r="AF385" s="5"/>
      <c r="AG385" s="5"/>
      <c r="AH385" s="5"/>
      <c r="AI385" s="5"/>
      <c r="AJ385" s="5"/>
      <c r="AK385" s="5"/>
      <c r="AL385" s="112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</row>
    <row r="386" ht="18.0" customHeight="1">
      <c r="A386" s="109"/>
      <c r="B386" s="113"/>
      <c r="C386" s="114"/>
      <c r="D386" s="114"/>
      <c r="E386" s="114"/>
      <c r="F386" s="114"/>
      <c r="G386" s="113"/>
      <c r="H386" s="114"/>
      <c r="I386" s="114"/>
      <c r="J386" s="114"/>
      <c r="K386" s="114"/>
      <c r="L386" s="114"/>
      <c r="M386" s="114"/>
      <c r="N386" s="114"/>
      <c r="O386" s="110"/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  <c r="Z386" s="110"/>
      <c r="AA386" s="110"/>
      <c r="AB386" s="112"/>
      <c r="AC386" s="5"/>
      <c r="AD386" s="5"/>
      <c r="AE386" s="5"/>
      <c r="AF386" s="5"/>
      <c r="AG386" s="5"/>
      <c r="AH386" s="5"/>
      <c r="AI386" s="5"/>
      <c r="AJ386" s="5"/>
      <c r="AK386" s="5"/>
      <c r="AL386" s="112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</row>
    <row r="387" ht="18.0" customHeight="1">
      <c r="A387" s="109"/>
      <c r="B387" s="113"/>
      <c r="C387" s="114"/>
      <c r="D387" s="114"/>
      <c r="E387" s="114"/>
      <c r="F387" s="114"/>
      <c r="G387" s="113"/>
      <c r="H387" s="114"/>
      <c r="I387" s="114"/>
      <c r="J387" s="114"/>
      <c r="K387" s="114"/>
      <c r="L387" s="114"/>
      <c r="M387" s="114"/>
      <c r="N387" s="114"/>
      <c r="O387" s="110"/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  <c r="Z387" s="110"/>
      <c r="AA387" s="110"/>
      <c r="AB387" s="112"/>
      <c r="AC387" s="5"/>
      <c r="AD387" s="5"/>
      <c r="AE387" s="5"/>
      <c r="AF387" s="5"/>
      <c r="AG387" s="5"/>
      <c r="AH387" s="5"/>
      <c r="AI387" s="5"/>
      <c r="AJ387" s="5"/>
      <c r="AK387" s="5"/>
      <c r="AL387" s="112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</row>
    <row r="388" ht="18.0" customHeight="1">
      <c r="A388" s="109"/>
      <c r="B388" s="113"/>
      <c r="C388" s="114"/>
      <c r="D388" s="114"/>
      <c r="E388" s="114"/>
      <c r="F388" s="114"/>
      <c r="G388" s="113"/>
      <c r="H388" s="114"/>
      <c r="I388" s="114"/>
      <c r="J388" s="114"/>
      <c r="K388" s="114"/>
      <c r="L388" s="114"/>
      <c r="M388" s="114"/>
      <c r="N388" s="114"/>
      <c r="O388" s="110"/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  <c r="Z388" s="110"/>
      <c r="AA388" s="110"/>
      <c r="AB388" s="112"/>
      <c r="AC388" s="5"/>
      <c r="AD388" s="5"/>
      <c r="AE388" s="5"/>
      <c r="AF388" s="5"/>
      <c r="AG388" s="5"/>
      <c r="AH388" s="5"/>
      <c r="AI388" s="5"/>
      <c r="AJ388" s="5"/>
      <c r="AK388" s="5"/>
      <c r="AL388" s="112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</row>
    <row r="389" ht="18.0" customHeight="1">
      <c r="A389" s="109"/>
      <c r="B389" s="113"/>
      <c r="C389" s="114"/>
      <c r="D389" s="114"/>
      <c r="E389" s="114"/>
      <c r="F389" s="114"/>
      <c r="G389" s="113"/>
      <c r="H389" s="114"/>
      <c r="I389" s="114"/>
      <c r="J389" s="114"/>
      <c r="K389" s="114"/>
      <c r="L389" s="114"/>
      <c r="M389" s="114"/>
      <c r="N389" s="114"/>
      <c r="O389" s="110"/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  <c r="Z389" s="110"/>
      <c r="AA389" s="110"/>
      <c r="AB389" s="112"/>
      <c r="AC389" s="5"/>
      <c r="AD389" s="5"/>
      <c r="AE389" s="5"/>
      <c r="AF389" s="5"/>
      <c r="AG389" s="5"/>
      <c r="AH389" s="5"/>
      <c r="AI389" s="5"/>
      <c r="AJ389" s="5"/>
      <c r="AK389" s="5"/>
      <c r="AL389" s="112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</row>
    <row r="390" ht="18.0" customHeight="1">
      <c r="A390" s="109"/>
      <c r="B390" s="113"/>
      <c r="C390" s="114"/>
      <c r="D390" s="114"/>
      <c r="E390" s="114"/>
      <c r="F390" s="114"/>
      <c r="G390" s="113"/>
      <c r="H390" s="114"/>
      <c r="I390" s="114"/>
      <c r="J390" s="114"/>
      <c r="K390" s="114"/>
      <c r="L390" s="114"/>
      <c r="M390" s="114"/>
      <c r="N390" s="114"/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  <c r="AA390" s="110"/>
      <c r="AB390" s="112"/>
      <c r="AC390" s="5"/>
      <c r="AD390" s="5"/>
      <c r="AE390" s="5"/>
      <c r="AF390" s="5"/>
      <c r="AG390" s="5"/>
      <c r="AH390" s="5"/>
      <c r="AI390" s="5"/>
      <c r="AJ390" s="5"/>
      <c r="AK390" s="5"/>
      <c r="AL390" s="112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</row>
    <row r="391" ht="18.0" customHeight="1">
      <c r="A391" s="109"/>
      <c r="B391" s="113"/>
      <c r="C391" s="114"/>
      <c r="D391" s="114"/>
      <c r="E391" s="114"/>
      <c r="F391" s="114"/>
      <c r="G391" s="113"/>
      <c r="H391" s="114"/>
      <c r="I391" s="114"/>
      <c r="J391" s="114"/>
      <c r="K391" s="114"/>
      <c r="L391" s="114"/>
      <c r="M391" s="114"/>
      <c r="N391" s="114"/>
      <c r="O391" s="110"/>
      <c r="P391" s="110"/>
      <c r="Q391" s="110"/>
      <c r="R391" s="110"/>
      <c r="S391" s="110"/>
      <c r="T391" s="110"/>
      <c r="U391" s="110"/>
      <c r="V391" s="110"/>
      <c r="W391" s="110"/>
      <c r="X391" s="110"/>
      <c r="Y391" s="110"/>
      <c r="Z391" s="110"/>
      <c r="AA391" s="110"/>
      <c r="AB391" s="112"/>
      <c r="AC391" s="5"/>
      <c r="AD391" s="5"/>
      <c r="AE391" s="5"/>
      <c r="AF391" s="5"/>
      <c r="AG391" s="5"/>
      <c r="AH391" s="5"/>
      <c r="AI391" s="5"/>
      <c r="AJ391" s="5"/>
      <c r="AK391" s="5"/>
      <c r="AL391" s="112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</row>
    <row r="392" ht="18.0" customHeight="1">
      <c r="A392" s="109"/>
      <c r="B392" s="113"/>
      <c r="C392" s="114"/>
      <c r="D392" s="114"/>
      <c r="E392" s="114"/>
      <c r="F392" s="114"/>
      <c r="G392" s="113"/>
      <c r="H392" s="114"/>
      <c r="I392" s="114"/>
      <c r="J392" s="114"/>
      <c r="K392" s="114"/>
      <c r="L392" s="114"/>
      <c r="M392" s="114"/>
      <c r="N392" s="114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2"/>
      <c r="AC392" s="5"/>
      <c r="AD392" s="5"/>
      <c r="AE392" s="5"/>
      <c r="AF392" s="5"/>
      <c r="AG392" s="5"/>
      <c r="AH392" s="5"/>
      <c r="AI392" s="5"/>
      <c r="AJ392" s="5"/>
      <c r="AK392" s="5"/>
      <c r="AL392" s="112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</row>
    <row r="393" ht="18.0" customHeight="1">
      <c r="A393" s="109"/>
      <c r="B393" s="113"/>
      <c r="C393" s="114"/>
      <c r="D393" s="114"/>
      <c r="E393" s="114"/>
      <c r="F393" s="114"/>
      <c r="G393" s="113"/>
      <c r="H393" s="114"/>
      <c r="I393" s="114"/>
      <c r="J393" s="114"/>
      <c r="K393" s="114"/>
      <c r="L393" s="114"/>
      <c r="M393" s="114"/>
      <c r="N393" s="114"/>
      <c r="O393" s="110"/>
      <c r="P393" s="110"/>
      <c r="Q393" s="110"/>
      <c r="R393" s="110"/>
      <c r="S393" s="110"/>
      <c r="T393" s="110"/>
      <c r="U393" s="110"/>
      <c r="V393" s="110"/>
      <c r="W393" s="110"/>
      <c r="X393" s="110"/>
      <c r="Y393" s="110"/>
      <c r="Z393" s="110"/>
      <c r="AA393" s="110"/>
      <c r="AB393" s="112"/>
      <c r="AC393" s="5"/>
      <c r="AD393" s="5"/>
      <c r="AE393" s="5"/>
      <c r="AF393" s="5"/>
      <c r="AG393" s="5"/>
      <c r="AH393" s="5"/>
      <c r="AI393" s="5"/>
      <c r="AJ393" s="5"/>
      <c r="AK393" s="5"/>
      <c r="AL393" s="112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</row>
    <row r="394" ht="18.0" customHeight="1">
      <c r="A394" s="109"/>
      <c r="B394" s="113"/>
      <c r="C394" s="114"/>
      <c r="D394" s="114"/>
      <c r="E394" s="114"/>
      <c r="F394" s="114"/>
      <c r="G394" s="113"/>
      <c r="H394" s="114"/>
      <c r="I394" s="114"/>
      <c r="J394" s="114"/>
      <c r="K394" s="114"/>
      <c r="L394" s="114"/>
      <c r="M394" s="114"/>
      <c r="N394" s="114"/>
      <c r="O394" s="110"/>
      <c r="P394" s="110"/>
      <c r="Q394" s="110"/>
      <c r="R394" s="110"/>
      <c r="S394" s="110"/>
      <c r="T394" s="110"/>
      <c r="U394" s="110"/>
      <c r="V394" s="110"/>
      <c r="W394" s="110"/>
      <c r="X394" s="110"/>
      <c r="Y394" s="110"/>
      <c r="Z394" s="110"/>
      <c r="AA394" s="110"/>
      <c r="AB394" s="112"/>
      <c r="AC394" s="5"/>
      <c r="AD394" s="5"/>
      <c r="AE394" s="5"/>
      <c r="AF394" s="5"/>
      <c r="AG394" s="5"/>
      <c r="AH394" s="5"/>
      <c r="AI394" s="5"/>
      <c r="AJ394" s="5"/>
      <c r="AK394" s="5"/>
      <c r="AL394" s="112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</row>
    <row r="395" ht="18.0" customHeight="1">
      <c r="A395" s="109"/>
      <c r="B395" s="113"/>
      <c r="C395" s="114"/>
      <c r="D395" s="114"/>
      <c r="E395" s="114"/>
      <c r="F395" s="114"/>
      <c r="G395" s="113"/>
      <c r="H395" s="114"/>
      <c r="I395" s="114"/>
      <c r="J395" s="114"/>
      <c r="K395" s="114"/>
      <c r="L395" s="114"/>
      <c r="M395" s="114"/>
      <c r="N395" s="114"/>
      <c r="O395" s="110"/>
      <c r="P395" s="110"/>
      <c r="Q395" s="110"/>
      <c r="R395" s="110"/>
      <c r="S395" s="110"/>
      <c r="T395" s="110"/>
      <c r="U395" s="110"/>
      <c r="V395" s="110"/>
      <c r="W395" s="110"/>
      <c r="X395" s="110"/>
      <c r="Y395" s="110"/>
      <c r="Z395" s="110"/>
      <c r="AA395" s="110"/>
      <c r="AB395" s="112"/>
      <c r="AC395" s="5"/>
      <c r="AD395" s="5"/>
      <c r="AE395" s="5"/>
      <c r="AF395" s="5"/>
      <c r="AG395" s="5"/>
      <c r="AH395" s="5"/>
      <c r="AI395" s="5"/>
      <c r="AJ395" s="5"/>
      <c r="AK395" s="5"/>
      <c r="AL395" s="112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</row>
    <row r="396" ht="18.0" customHeight="1">
      <c r="A396" s="109"/>
      <c r="B396" s="113"/>
      <c r="C396" s="114"/>
      <c r="D396" s="114"/>
      <c r="E396" s="114"/>
      <c r="F396" s="114"/>
      <c r="G396" s="113"/>
      <c r="H396" s="114"/>
      <c r="I396" s="114"/>
      <c r="J396" s="114"/>
      <c r="K396" s="114"/>
      <c r="L396" s="114"/>
      <c r="M396" s="114"/>
      <c r="N396" s="114"/>
      <c r="O396" s="110"/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  <c r="AA396" s="110"/>
      <c r="AB396" s="112"/>
      <c r="AC396" s="5"/>
      <c r="AD396" s="5"/>
      <c r="AE396" s="5"/>
      <c r="AF396" s="5"/>
      <c r="AG396" s="5"/>
      <c r="AH396" s="5"/>
      <c r="AI396" s="5"/>
      <c r="AJ396" s="5"/>
      <c r="AK396" s="5"/>
      <c r="AL396" s="112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</row>
    <row r="397" ht="18.0" customHeight="1">
      <c r="A397" s="109"/>
      <c r="B397" s="113"/>
      <c r="C397" s="114"/>
      <c r="D397" s="114"/>
      <c r="E397" s="114"/>
      <c r="F397" s="114"/>
      <c r="G397" s="113"/>
      <c r="H397" s="114"/>
      <c r="I397" s="114"/>
      <c r="J397" s="114"/>
      <c r="K397" s="114"/>
      <c r="L397" s="114"/>
      <c r="M397" s="114"/>
      <c r="N397" s="114"/>
      <c r="O397" s="110"/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  <c r="Z397" s="110"/>
      <c r="AA397" s="110"/>
      <c r="AB397" s="112"/>
      <c r="AC397" s="5"/>
      <c r="AD397" s="5"/>
      <c r="AE397" s="5"/>
      <c r="AF397" s="5"/>
      <c r="AG397" s="5"/>
      <c r="AH397" s="5"/>
      <c r="AI397" s="5"/>
      <c r="AJ397" s="5"/>
      <c r="AK397" s="5"/>
      <c r="AL397" s="112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</row>
    <row r="398" ht="18.0" customHeight="1">
      <c r="A398" s="109"/>
      <c r="B398" s="113"/>
      <c r="C398" s="114"/>
      <c r="D398" s="114"/>
      <c r="E398" s="114"/>
      <c r="F398" s="114"/>
      <c r="G398" s="113"/>
      <c r="H398" s="114"/>
      <c r="I398" s="114"/>
      <c r="J398" s="114"/>
      <c r="K398" s="114"/>
      <c r="L398" s="114"/>
      <c r="M398" s="114"/>
      <c r="N398" s="114"/>
      <c r="O398" s="110"/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  <c r="Z398" s="110"/>
      <c r="AA398" s="110"/>
      <c r="AB398" s="112"/>
      <c r="AC398" s="5"/>
      <c r="AD398" s="5"/>
      <c r="AE398" s="5"/>
      <c r="AF398" s="5"/>
      <c r="AG398" s="5"/>
      <c r="AH398" s="5"/>
      <c r="AI398" s="5"/>
      <c r="AJ398" s="5"/>
      <c r="AK398" s="5"/>
      <c r="AL398" s="112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</row>
    <row r="399" ht="18.0" customHeight="1">
      <c r="A399" s="109"/>
      <c r="B399" s="113"/>
      <c r="C399" s="114"/>
      <c r="D399" s="114"/>
      <c r="E399" s="114"/>
      <c r="F399" s="114"/>
      <c r="G399" s="113"/>
      <c r="H399" s="114"/>
      <c r="I399" s="114"/>
      <c r="J399" s="114"/>
      <c r="K399" s="114"/>
      <c r="L399" s="114"/>
      <c r="M399" s="114"/>
      <c r="N399" s="114"/>
      <c r="O399" s="110"/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  <c r="Z399" s="110"/>
      <c r="AA399" s="110"/>
      <c r="AB399" s="112"/>
      <c r="AC399" s="5"/>
      <c r="AD399" s="5"/>
      <c r="AE399" s="5"/>
      <c r="AF399" s="5"/>
      <c r="AG399" s="5"/>
      <c r="AH399" s="5"/>
      <c r="AI399" s="5"/>
      <c r="AJ399" s="5"/>
      <c r="AK399" s="5"/>
      <c r="AL399" s="112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</row>
    <row r="400" ht="18.0" customHeight="1">
      <c r="A400" s="109"/>
      <c r="B400" s="113"/>
      <c r="C400" s="114"/>
      <c r="D400" s="114"/>
      <c r="E400" s="114"/>
      <c r="F400" s="114"/>
      <c r="G400" s="113"/>
      <c r="H400" s="114"/>
      <c r="I400" s="114"/>
      <c r="J400" s="114"/>
      <c r="K400" s="114"/>
      <c r="L400" s="114"/>
      <c r="M400" s="114"/>
      <c r="N400" s="114"/>
      <c r="O400" s="110"/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  <c r="AA400" s="110"/>
      <c r="AB400" s="112"/>
      <c r="AC400" s="5"/>
      <c r="AD400" s="5"/>
      <c r="AE400" s="5"/>
      <c r="AF400" s="5"/>
      <c r="AG400" s="5"/>
      <c r="AH400" s="5"/>
      <c r="AI400" s="5"/>
      <c r="AJ400" s="5"/>
      <c r="AK400" s="5"/>
      <c r="AL400" s="112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</row>
    <row r="401" ht="18.0" customHeight="1">
      <c r="A401" s="109"/>
      <c r="B401" s="113"/>
      <c r="C401" s="114"/>
      <c r="D401" s="114"/>
      <c r="E401" s="114"/>
      <c r="F401" s="114"/>
      <c r="G401" s="113"/>
      <c r="H401" s="114"/>
      <c r="I401" s="114"/>
      <c r="J401" s="114"/>
      <c r="K401" s="114"/>
      <c r="L401" s="114"/>
      <c r="M401" s="114"/>
      <c r="N401" s="114"/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  <c r="AA401" s="110"/>
      <c r="AB401" s="112"/>
      <c r="AC401" s="5"/>
      <c r="AD401" s="5"/>
      <c r="AE401" s="5"/>
      <c r="AF401" s="5"/>
      <c r="AG401" s="5"/>
      <c r="AH401" s="5"/>
      <c r="AI401" s="5"/>
      <c r="AJ401" s="5"/>
      <c r="AK401" s="5"/>
      <c r="AL401" s="112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</row>
    <row r="402" ht="18.0" customHeight="1">
      <c r="A402" s="109"/>
      <c r="B402" s="113"/>
      <c r="C402" s="114"/>
      <c r="D402" s="114"/>
      <c r="E402" s="114"/>
      <c r="F402" s="114"/>
      <c r="G402" s="113"/>
      <c r="H402" s="114"/>
      <c r="I402" s="114"/>
      <c r="J402" s="114"/>
      <c r="K402" s="114"/>
      <c r="L402" s="114"/>
      <c r="M402" s="114"/>
      <c r="N402" s="114"/>
      <c r="O402" s="110"/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  <c r="Z402" s="110"/>
      <c r="AA402" s="110"/>
      <c r="AB402" s="112"/>
      <c r="AC402" s="5"/>
      <c r="AD402" s="5"/>
      <c r="AE402" s="5"/>
      <c r="AF402" s="5"/>
      <c r="AG402" s="5"/>
      <c r="AH402" s="5"/>
      <c r="AI402" s="5"/>
      <c r="AJ402" s="5"/>
      <c r="AK402" s="5"/>
      <c r="AL402" s="112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</row>
    <row r="403" ht="18.0" customHeight="1">
      <c r="A403" s="109"/>
      <c r="B403" s="113"/>
      <c r="C403" s="114"/>
      <c r="D403" s="114"/>
      <c r="E403" s="114"/>
      <c r="F403" s="114"/>
      <c r="G403" s="113"/>
      <c r="H403" s="114"/>
      <c r="I403" s="114"/>
      <c r="J403" s="114"/>
      <c r="K403" s="114"/>
      <c r="L403" s="114"/>
      <c r="M403" s="114"/>
      <c r="N403" s="114"/>
      <c r="O403" s="110"/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  <c r="Z403" s="110"/>
      <c r="AA403" s="110"/>
      <c r="AB403" s="112"/>
      <c r="AC403" s="5"/>
      <c r="AD403" s="5"/>
      <c r="AE403" s="5"/>
      <c r="AF403" s="5"/>
      <c r="AG403" s="5"/>
      <c r="AH403" s="5"/>
      <c r="AI403" s="5"/>
      <c r="AJ403" s="5"/>
      <c r="AK403" s="5"/>
      <c r="AL403" s="112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</row>
    <row r="404" ht="18.0" customHeight="1">
      <c r="A404" s="109"/>
      <c r="B404" s="113"/>
      <c r="C404" s="114"/>
      <c r="D404" s="114"/>
      <c r="E404" s="114"/>
      <c r="F404" s="114"/>
      <c r="G404" s="113"/>
      <c r="H404" s="114"/>
      <c r="I404" s="114"/>
      <c r="J404" s="114"/>
      <c r="K404" s="114"/>
      <c r="L404" s="114"/>
      <c r="M404" s="114"/>
      <c r="N404" s="114"/>
      <c r="O404" s="110"/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  <c r="Z404" s="110"/>
      <c r="AA404" s="110"/>
      <c r="AB404" s="112"/>
      <c r="AC404" s="5"/>
      <c r="AD404" s="5"/>
      <c r="AE404" s="5"/>
      <c r="AF404" s="5"/>
      <c r="AG404" s="5"/>
      <c r="AH404" s="5"/>
      <c r="AI404" s="5"/>
      <c r="AJ404" s="5"/>
      <c r="AK404" s="5"/>
      <c r="AL404" s="112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</row>
    <row r="405" ht="18.0" customHeight="1">
      <c r="A405" s="109"/>
      <c r="B405" s="113"/>
      <c r="C405" s="114"/>
      <c r="D405" s="114"/>
      <c r="E405" s="114"/>
      <c r="F405" s="114"/>
      <c r="G405" s="113"/>
      <c r="H405" s="114"/>
      <c r="I405" s="114"/>
      <c r="J405" s="114"/>
      <c r="K405" s="114"/>
      <c r="L405" s="114"/>
      <c r="M405" s="114"/>
      <c r="N405" s="114"/>
      <c r="O405" s="110"/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  <c r="Z405" s="110"/>
      <c r="AA405" s="110"/>
      <c r="AB405" s="112"/>
      <c r="AC405" s="5"/>
      <c r="AD405" s="5"/>
      <c r="AE405" s="5"/>
      <c r="AF405" s="5"/>
      <c r="AG405" s="5"/>
      <c r="AH405" s="5"/>
      <c r="AI405" s="5"/>
      <c r="AJ405" s="5"/>
      <c r="AK405" s="5"/>
      <c r="AL405" s="112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</row>
    <row r="406" ht="18.0" customHeight="1">
      <c r="A406" s="109"/>
      <c r="B406" s="113"/>
      <c r="C406" s="114"/>
      <c r="D406" s="114"/>
      <c r="E406" s="114"/>
      <c r="F406" s="114"/>
      <c r="G406" s="113"/>
      <c r="H406" s="114"/>
      <c r="I406" s="114"/>
      <c r="J406" s="114"/>
      <c r="K406" s="114"/>
      <c r="L406" s="114"/>
      <c r="M406" s="114"/>
      <c r="N406" s="114"/>
      <c r="O406" s="110"/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  <c r="Z406" s="110"/>
      <c r="AA406" s="110"/>
      <c r="AB406" s="112"/>
      <c r="AC406" s="5"/>
      <c r="AD406" s="5"/>
      <c r="AE406" s="5"/>
      <c r="AF406" s="5"/>
      <c r="AG406" s="5"/>
      <c r="AH406" s="5"/>
      <c r="AI406" s="5"/>
      <c r="AJ406" s="5"/>
      <c r="AK406" s="5"/>
      <c r="AL406" s="112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</row>
    <row r="407" ht="18.0" customHeight="1">
      <c r="A407" s="109"/>
      <c r="B407" s="113"/>
      <c r="C407" s="114"/>
      <c r="D407" s="114"/>
      <c r="E407" s="114"/>
      <c r="F407" s="114"/>
      <c r="G407" s="113"/>
      <c r="H407" s="114"/>
      <c r="I407" s="114"/>
      <c r="J407" s="114"/>
      <c r="K407" s="114"/>
      <c r="L407" s="114"/>
      <c r="M407" s="114"/>
      <c r="N407" s="114"/>
      <c r="O407" s="110"/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  <c r="Z407" s="110"/>
      <c r="AA407" s="110"/>
      <c r="AB407" s="112"/>
      <c r="AC407" s="5"/>
      <c r="AD407" s="5"/>
      <c r="AE407" s="5"/>
      <c r="AF407" s="5"/>
      <c r="AG407" s="5"/>
      <c r="AH407" s="5"/>
      <c r="AI407" s="5"/>
      <c r="AJ407" s="5"/>
      <c r="AK407" s="5"/>
      <c r="AL407" s="112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</row>
    <row r="408" ht="18.0" customHeight="1">
      <c r="A408" s="109"/>
      <c r="B408" s="113"/>
      <c r="C408" s="114"/>
      <c r="D408" s="114"/>
      <c r="E408" s="114"/>
      <c r="F408" s="114"/>
      <c r="G408" s="113"/>
      <c r="H408" s="114"/>
      <c r="I408" s="114"/>
      <c r="J408" s="114"/>
      <c r="K408" s="114"/>
      <c r="L408" s="114"/>
      <c r="M408" s="114"/>
      <c r="N408" s="114"/>
      <c r="O408" s="110"/>
      <c r="P408" s="110"/>
      <c r="Q408" s="110"/>
      <c r="R408" s="110"/>
      <c r="S408" s="110"/>
      <c r="T408" s="110"/>
      <c r="U408" s="110"/>
      <c r="V408" s="110"/>
      <c r="W408" s="110"/>
      <c r="X408" s="110"/>
      <c r="Y408" s="110"/>
      <c r="Z408" s="110"/>
      <c r="AA408" s="110"/>
      <c r="AB408" s="112"/>
      <c r="AC408" s="5"/>
      <c r="AD408" s="5"/>
      <c r="AE408" s="5"/>
      <c r="AF408" s="5"/>
      <c r="AG408" s="5"/>
      <c r="AH408" s="5"/>
      <c r="AI408" s="5"/>
      <c r="AJ408" s="5"/>
      <c r="AK408" s="5"/>
      <c r="AL408" s="112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</row>
    <row r="409" ht="18.0" customHeight="1">
      <c r="A409" s="109"/>
      <c r="B409" s="113"/>
      <c r="C409" s="114"/>
      <c r="D409" s="114"/>
      <c r="E409" s="114"/>
      <c r="F409" s="114"/>
      <c r="G409" s="113"/>
      <c r="H409" s="114"/>
      <c r="I409" s="114"/>
      <c r="J409" s="114"/>
      <c r="K409" s="114"/>
      <c r="L409" s="114"/>
      <c r="M409" s="114"/>
      <c r="N409" s="114"/>
      <c r="O409" s="110"/>
      <c r="P409" s="110"/>
      <c r="Q409" s="110"/>
      <c r="R409" s="110"/>
      <c r="S409" s="110"/>
      <c r="T409" s="110"/>
      <c r="U409" s="110"/>
      <c r="V409" s="110"/>
      <c r="W409" s="110"/>
      <c r="X409" s="110"/>
      <c r="Y409" s="110"/>
      <c r="Z409" s="110"/>
      <c r="AA409" s="110"/>
      <c r="AB409" s="112"/>
      <c r="AC409" s="5"/>
      <c r="AD409" s="5"/>
      <c r="AE409" s="5"/>
      <c r="AF409" s="5"/>
      <c r="AG409" s="5"/>
      <c r="AH409" s="5"/>
      <c r="AI409" s="5"/>
      <c r="AJ409" s="5"/>
      <c r="AK409" s="5"/>
      <c r="AL409" s="112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</row>
    <row r="410" ht="18.0" customHeight="1">
      <c r="A410" s="109"/>
      <c r="B410" s="113"/>
      <c r="C410" s="114"/>
      <c r="D410" s="114"/>
      <c r="E410" s="114"/>
      <c r="F410" s="114"/>
      <c r="G410" s="113"/>
      <c r="H410" s="114"/>
      <c r="I410" s="114"/>
      <c r="J410" s="114"/>
      <c r="K410" s="114"/>
      <c r="L410" s="114"/>
      <c r="M410" s="114"/>
      <c r="N410" s="114"/>
      <c r="O410" s="110"/>
      <c r="P410" s="110"/>
      <c r="Q410" s="110"/>
      <c r="R410" s="110"/>
      <c r="S410" s="110"/>
      <c r="T410" s="110"/>
      <c r="U410" s="110"/>
      <c r="V410" s="110"/>
      <c r="W410" s="110"/>
      <c r="X410" s="110"/>
      <c r="Y410" s="110"/>
      <c r="Z410" s="110"/>
      <c r="AA410" s="110"/>
      <c r="AB410" s="112"/>
      <c r="AC410" s="5"/>
      <c r="AD410" s="5"/>
      <c r="AE410" s="5"/>
      <c r="AF410" s="5"/>
      <c r="AG410" s="5"/>
      <c r="AH410" s="5"/>
      <c r="AI410" s="5"/>
      <c r="AJ410" s="5"/>
      <c r="AK410" s="5"/>
      <c r="AL410" s="112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</row>
    <row r="411" ht="18.0" customHeight="1">
      <c r="A411" s="109"/>
      <c r="B411" s="113"/>
      <c r="C411" s="114"/>
      <c r="D411" s="114"/>
      <c r="E411" s="114"/>
      <c r="F411" s="114"/>
      <c r="G411" s="113"/>
      <c r="H411" s="114"/>
      <c r="I411" s="114"/>
      <c r="J411" s="114"/>
      <c r="K411" s="114"/>
      <c r="L411" s="114"/>
      <c r="M411" s="114"/>
      <c r="N411" s="114"/>
      <c r="O411" s="110"/>
      <c r="P411" s="110"/>
      <c r="Q411" s="110"/>
      <c r="R411" s="110"/>
      <c r="S411" s="110"/>
      <c r="T411" s="110"/>
      <c r="U411" s="110"/>
      <c r="V411" s="110"/>
      <c r="W411" s="110"/>
      <c r="X411" s="110"/>
      <c r="Y411" s="110"/>
      <c r="Z411" s="110"/>
      <c r="AA411" s="110"/>
      <c r="AB411" s="112"/>
      <c r="AC411" s="5"/>
      <c r="AD411" s="5"/>
      <c r="AE411" s="5"/>
      <c r="AF411" s="5"/>
      <c r="AG411" s="5"/>
      <c r="AH411" s="5"/>
      <c r="AI411" s="5"/>
      <c r="AJ411" s="5"/>
      <c r="AK411" s="5"/>
      <c r="AL411" s="112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</row>
    <row r="412" ht="18.0" customHeight="1">
      <c r="A412" s="109"/>
      <c r="B412" s="113"/>
      <c r="C412" s="114"/>
      <c r="D412" s="114"/>
      <c r="E412" s="114"/>
      <c r="F412" s="114"/>
      <c r="G412" s="113"/>
      <c r="H412" s="114"/>
      <c r="I412" s="114"/>
      <c r="J412" s="114"/>
      <c r="K412" s="114"/>
      <c r="L412" s="114"/>
      <c r="M412" s="114"/>
      <c r="N412" s="114"/>
      <c r="O412" s="110"/>
      <c r="P412" s="110"/>
      <c r="Q412" s="110"/>
      <c r="R412" s="110"/>
      <c r="S412" s="110"/>
      <c r="T412" s="110"/>
      <c r="U412" s="110"/>
      <c r="V412" s="110"/>
      <c r="W412" s="110"/>
      <c r="X412" s="110"/>
      <c r="Y412" s="110"/>
      <c r="Z412" s="110"/>
      <c r="AA412" s="110"/>
      <c r="AB412" s="112"/>
      <c r="AC412" s="5"/>
      <c r="AD412" s="5"/>
      <c r="AE412" s="5"/>
      <c r="AF412" s="5"/>
      <c r="AG412" s="5"/>
      <c r="AH412" s="5"/>
      <c r="AI412" s="5"/>
      <c r="AJ412" s="5"/>
      <c r="AK412" s="5"/>
      <c r="AL412" s="112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</row>
    <row r="413" ht="18.0" customHeight="1">
      <c r="A413" s="109"/>
      <c r="B413" s="113"/>
      <c r="C413" s="114"/>
      <c r="D413" s="114"/>
      <c r="E413" s="114"/>
      <c r="F413" s="114"/>
      <c r="G413" s="113"/>
      <c r="H413" s="114"/>
      <c r="I413" s="114"/>
      <c r="J413" s="114"/>
      <c r="K413" s="114"/>
      <c r="L413" s="114"/>
      <c r="M413" s="114"/>
      <c r="N413" s="114"/>
      <c r="O413" s="110"/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  <c r="Z413" s="110"/>
      <c r="AA413" s="110"/>
      <c r="AB413" s="112"/>
      <c r="AC413" s="5"/>
      <c r="AD413" s="5"/>
      <c r="AE413" s="5"/>
      <c r="AF413" s="5"/>
      <c r="AG413" s="5"/>
      <c r="AH413" s="5"/>
      <c r="AI413" s="5"/>
      <c r="AJ413" s="5"/>
      <c r="AK413" s="5"/>
      <c r="AL413" s="112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</row>
    <row r="414" ht="18.0" customHeight="1">
      <c r="A414" s="109"/>
      <c r="B414" s="113"/>
      <c r="C414" s="114"/>
      <c r="D414" s="114"/>
      <c r="E414" s="114"/>
      <c r="F414" s="114"/>
      <c r="G414" s="113"/>
      <c r="H414" s="114"/>
      <c r="I414" s="114"/>
      <c r="J414" s="114"/>
      <c r="K414" s="114"/>
      <c r="L414" s="114"/>
      <c r="M414" s="114"/>
      <c r="N414" s="114"/>
      <c r="O414" s="110"/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  <c r="Z414" s="110"/>
      <c r="AA414" s="110"/>
      <c r="AB414" s="112"/>
      <c r="AC414" s="5"/>
      <c r="AD414" s="5"/>
      <c r="AE414" s="5"/>
      <c r="AF414" s="5"/>
      <c r="AG414" s="5"/>
      <c r="AH414" s="5"/>
      <c r="AI414" s="5"/>
      <c r="AJ414" s="5"/>
      <c r="AK414" s="5"/>
      <c r="AL414" s="112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</row>
    <row r="415" ht="18.0" customHeight="1">
      <c r="A415" s="109"/>
      <c r="B415" s="113"/>
      <c r="C415" s="114"/>
      <c r="D415" s="114"/>
      <c r="E415" s="114"/>
      <c r="F415" s="114"/>
      <c r="G415" s="113"/>
      <c r="H415" s="114"/>
      <c r="I415" s="114"/>
      <c r="J415" s="114"/>
      <c r="K415" s="114"/>
      <c r="L415" s="114"/>
      <c r="M415" s="114"/>
      <c r="N415" s="114"/>
      <c r="O415" s="110"/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  <c r="Z415" s="110"/>
      <c r="AA415" s="110"/>
      <c r="AB415" s="112"/>
      <c r="AC415" s="5"/>
      <c r="AD415" s="5"/>
      <c r="AE415" s="5"/>
      <c r="AF415" s="5"/>
      <c r="AG415" s="5"/>
      <c r="AH415" s="5"/>
      <c r="AI415" s="5"/>
      <c r="AJ415" s="5"/>
      <c r="AK415" s="5"/>
      <c r="AL415" s="112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</row>
    <row r="416" ht="18.0" customHeight="1">
      <c r="A416" s="109"/>
      <c r="B416" s="113"/>
      <c r="C416" s="114"/>
      <c r="D416" s="114"/>
      <c r="E416" s="114"/>
      <c r="F416" s="114"/>
      <c r="G416" s="113"/>
      <c r="H416" s="114"/>
      <c r="I416" s="114"/>
      <c r="J416" s="114"/>
      <c r="K416" s="114"/>
      <c r="L416" s="114"/>
      <c r="M416" s="114"/>
      <c r="N416" s="114"/>
      <c r="O416" s="110"/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  <c r="Z416" s="110"/>
      <c r="AA416" s="110"/>
      <c r="AB416" s="112"/>
      <c r="AC416" s="5"/>
      <c r="AD416" s="5"/>
      <c r="AE416" s="5"/>
      <c r="AF416" s="5"/>
      <c r="AG416" s="5"/>
      <c r="AH416" s="5"/>
      <c r="AI416" s="5"/>
      <c r="AJ416" s="5"/>
      <c r="AK416" s="5"/>
      <c r="AL416" s="112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</row>
    <row r="417" ht="18.0" customHeight="1">
      <c r="A417" s="109"/>
      <c r="B417" s="113"/>
      <c r="C417" s="114"/>
      <c r="D417" s="114"/>
      <c r="E417" s="114"/>
      <c r="F417" s="114"/>
      <c r="G417" s="113"/>
      <c r="H417" s="114"/>
      <c r="I417" s="114"/>
      <c r="J417" s="114"/>
      <c r="K417" s="114"/>
      <c r="L417" s="114"/>
      <c r="M417" s="114"/>
      <c r="N417" s="114"/>
      <c r="O417" s="110"/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  <c r="Z417" s="110"/>
      <c r="AA417" s="110"/>
      <c r="AB417" s="112"/>
      <c r="AC417" s="5"/>
      <c r="AD417" s="5"/>
      <c r="AE417" s="5"/>
      <c r="AF417" s="5"/>
      <c r="AG417" s="5"/>
      <c r="AH417" s="5"/>
      <c r="AI417" s="5"/>
      <c r="AJ417" s="5"/>
      <c r="AK417" s="5"/>
      <c r="AL417" s="112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</row>
    <row r="418" ht="18.0" customHeight="1">
      <c r="A418" s="109"/>
      <c r="B418" s="113"/>
      <c r="C418" s="114"/>
      <c r="D418" s="114"/>
      <c r="E418" s="114"/>
      <c r="F418" s="114"/>
      <c r="G418" s="113"/>
      <c r="H418" s="114"/>
      <c r="I418" s="114"/>
      <c r="J418" s="114"/>
      <c r="K418" s="114"/>
      <c r="L418" s="114"/>
      <c r="M418" s="114"/>
      <c r="N418" s="114"/>
      <c r="O418" s="110"/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  <c r="Z418" s="110"/>
      <c r="AA418" s="110"/>
      <c r="AB418" s="112"/>
      <c r="AC418" s="5"/>
      <c r="AD418" s="5"/>
      <c r="AE418" s="5"/>
      <c r="AF418" s="5"/>
      <c r="AG418" s="5"/>
      <c r="AH418" s="5"/>
      <c r="AI418" s="5"/>
      <c r="AJ418" s="5"/>
      <c r="AK418" s="5"/>
      <c r="AL418" s="112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</row>
    <row r="419" ht="18.0" customHeight="1">
      <c r="A419" s="109"/>
      <c r="B419" s="113"/>
      <c r="C419" s="114"/>
      <c r="D419" s="114"/>
      <c r="E419" s="114"/>
      <c r="F419" s="114"/>
      <c r="G419" s="113"/>
      <c r="H419" s="114"/>
      <c r="I419" s="114"/>
      <c r="J419" s="114"/>
      <c r="K419" s="114"/>
      <c r="L419" s="114"/>
      <c r="M419" s="114"/>
      <c r="N419" s="114"/>
      <c r="O419" s="110"/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  <c r="Z419" s="110"/>
      <c r="AA419" s="110"/>
      <c r="AB419" s="112"/>
      <c r="AC419" s="5"/>
      <c r="AD419" s="5"/>
      <c r="AE419" s="5"/>
      <c r="AF419" s="5"/>
      <c r="AG419" s="5"/>
      <c r="AH419" s="5"/>
      <c r="AI419" s="5"/>
      <c r="AJ419" s="5"/>
      <c r="AK419" s="5"/>
      <c r="AL419" s="112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</row>
    <row r="420" ht="18.0" customHeight="1">
      <c r="A420" s="109"/>
      <c r="B420" s="113"/>
      <c r="C420" s="114"/>
      <c r="D420" s="114"/>
      <c r="E420" s="114"/>
      <c r="F420" s="114"/>
      <c r="G420" s="113"/>
      <c r="H420" s="114"/>
      <c r="I420" s="114"/>
      <c r="J420" s="114"/>
      <c r="K420" s="114"/>
      <c r="L420" s="114"/>
      <c r="M420" s="114"/>
      <c r="N420" s="114"/>
      <c r="O420" s="110"/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  <c r="Z420" s="110"/>
      <c r="AA420" s="110"/>
      <c r="AB420" s="112"/>
      <c r="AC420" s="5"/>
      <c r="AD420" s="5"/>
      <c r="AE420" s="5"/>
      <c r="AF420" s="5"/>
      <c r="AG420" s="5"/>
      <c r="AH420" s="5"/>
      <c r="AI420" s="5"/>
      <c r="AJ420" s="5"/>
      <c r="AK420" s="5"/>
      <c r="AL420" s="112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</row>
    <row r="421" ht="18.0" customHeight="1">
      <c r="A421" s="109"/>
      <c r="B421" s="113"/>
      <c r="C421" s="114"/>
      <c r="D421" s="114"/>
      <c r="E421" s="114"/>
      <c r="F421" s="114"/>
      <c r="G421" s="113"/>
      <c r="H421" s="114"/>
      <c r="I421" s="114"/>
      <c r="J421" s="114"/>
      <c r="K421" s="114"/>
      <c r="L421" s="114"/>
      <c r="M421" s="114"/>
      <c r="N421" s="114"/>
      <c r="O421" s="110"/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  <c r="Z421" s="110"/>
      <c r="AA421" s="110"/>
      <c r="AB421" s="112"/>
      <c r="AC421" s="5"/>
      <c r="AD421" s="5"/>
      <c r="AE421" s="5"/>
      <c r="AF421" s="5"/>
      <c r="AG421" s="5"/>
      <c r="AH421" s="5"/>
      <c r="AI421" s="5"/>
      <c r="AJ421" s="5"/>
      <c r="AK421" s="5"/>
      <c r="AL421" s="112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</row>
    <row r="422" ht="18.0" customHeight="1">
      <c r="A422" s="109"/>
      <c r="B422" s="113"/>
      <c r="C422" s="114"/>
      <c r="D422" s="114"/>
      <c r="E422" s="114"/>
      <c r="F422" s="114"/>
      <c r="G422" s="113"/>
      <c r="H422" s="114"/>
      <c r="I422" s="114"/>
      <c r="J422" s="114"/>
      <c r="K422" s="114"/>
      <c r="L422" s="114"/>
      <c r="M422" s="114"/>
      <c r="N422" s="114"/>
      <c r="O422" s="110"/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  <c r="Z422" s="110"/>
      <c r="AA422" s="110"/>
      <c r="AB422" s="112"/>
      <c r="AC422" s="5"/>
      <c r="AD422" s="5"/>
      <c r="AE422" s="5"/>
      <c r="AF422" s="5"/>
      <c r="AG422" s="5"/>
      <c r="AH422" s="5"/>
      <c r="AI422" s="5"/>
      <c r="AJ422" s="5"/>
      <c r="AK422" s="5"/>
      <c r="AL422" s="112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</row>
    <row r="423" ht="18.0" customHeight="1">
      <c r="A423" s="109"/>
      <c r="B423" s="113"/>
      <c r="C423" s="114"/>
      <c r="D423" s="114"/>
      <c r="E423" s="114"/>
      <c r="F423" s="114"/>
      <c r="G423" s="113"/>
      <c r="H423" s="114"/>
      <c r="I423" s="114"/>
      <c r="J423" s="114"/>
      <c r="K423" s="114"/>
      <c r="L423" s="114"/>
      <c r="M423" s="114"/>
      <c r="N423" s="114"/>
      <c r="O423" s="110"/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  <c r="Z423" s="110"/>
      <c r="AA423" s="110"/>
      <c r="AB423" s="112"/>
      <c r="AC423" s="5"/>
      <c r="AD423" s="5"/>
      <c r="AE423" s="5"/>
      <c r="AF423" s="5"/>
      <c r="AG423" s="5"/>
      <c r="AH423" s="5"/>
      <c r="AI423" s="5"/>
      <c r="AJ423" s="5"/>
      <c r="AK423" s="5"/>
      <c r="AL423" s="112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</row>
    <row r="424" ht="18.0" customHeight="1">
      <c r="A424" s="109"/>
      <c r="B424" s="113"/>
      <c r="C424" s="114"/>
      <c r="D424" s="114"/>
      <c r="E424" s="114"/>
      <c r="F424" s="114"/>
      <c r="G424" s="113"/>
      <c r="H424" s="114"/>
      <c r="I424" s="114"/>
      <c r="J424" s="114"/>
      <c r="K424" s="114"/>
      <c r="L424" s="114"/>
      <c r="M424" s="114"/>
      <c r="N424" s="114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2"/>
      <c r="AC424" s="5"/>
      <c r="AD424" s="5"/>
      <c r="AE424" s="5"/>
      <c r="AF424" s="5"/>
      <c r="AG424" s="5"/>
      <c r="AH424" s="5"/>
      <c r="AI424" s="5"/>
      <c r="AJ424" s="5"/>
      <c r="AK424" s="5"/>
      <c r="AL424" s="112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</row>
    <row r="425" ht="18.0" customHeight="1">
      <c r="A425" s="109"/>
      <c r="B425" s="113"/>
      <c r="C425" s="114"/>
      <c r="D425" s="114"/>
      <c r="E425" s="114"/>
      <c r="F425" s="114"/>
      <c r="G425" s="113"/>
      <c r="H425" s="114"/>
      <c r="I425" s="114"/>
      <c r="J425" s="114"/>
      <c r="K425" s="114"/>
      <c r="L425" s="114"/>
      <c r="M425" s="114"/>
      <c r="N425" s="114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2"/>
      <c r="AC425" s="5"/>
      <c r="AD425" s="5"/>
      <c r="AE425" s="5"/>
      <c r="AF425" s="5"/>
      <c r="AG425" s="5"/>
      <c r="AH425" s="5"/>
      <c r="AI425" s="5"/>
      <c r="AJ425" s="5"/>
      <c r="AK425" s="5"/>
      <c r="AL425" s="112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</row>
    <row r="426" ht="18.0" customHeight="1">
      <c r="A426" s="109"/>
      <c r="B426" s="113"/>
      <c r="C426" s="114"/>
      <c r="D426" s="114"/>
      <c r="E426" s="114"/>
      <c r="F426" s="114"/>
      <c r="G426" s="113"/>
      <c r="H426" s="114"/>
      <c r="I426" s="114"/>
      <c r="J426" s="114"/>
      <c r="K426" s="114"/>
      <c r="L426" s="114"/>
      <c r="M426" s="114"/>
      <c r="N426" s="114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2"/>
      <c r="AC426" s="5"/>
      <c r="AD426" s="5"/>
      <c r="AE426" s="5"/>
      <c r="AF426" s="5"/>
      <c r="AG426" s="5"/>
      <c r="AH426" s="5"/>
      <c r="AI426" s="5"/>
      <c r="AJ426" s="5"/>
      <c r="AK426" s="5"/>
      <c r="AL426" s="112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</row>
    <row r="427" ht="18.0" customHeight="1">
      <c r="A427" s="109"/>
      <c r="B427" s="113"/>
      <c r="C427" s="114"/>
      <c r="D427" s="114"/>
      <c r="E427" s="114"/>
      <c r="F427" s="114"/>
      <c r="G427" s="113"/>
      <c r="H427" s="114"/>
      <c r="I427" s="114"/>
      <c r="J427" s="114"/>
      <c r="K427" s="114"/>
      <c r="L427" s="114"/>
      <c r="M427" s="114"/>
      <c r="N427" s="114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2"/>
      <c r="AC427" s="5"/>
      <c r="AD427" s="5"/>
      <c r="AE427" s="5"/>
      <c r="AF427" s="5"/>
      <c r="AG427" s="5"/>
      <c r="AH427" s="5"/>
      <c r="AI427" s="5"/>
      <c r="AJ427" s="5"/>
      <c r="AK427" s="5"/>
      <c r="AL427" s="112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</row>
    <row r="428" ht="18.0" customHeight="1">
      <c r="A428" s="109"/>
      <c r="B428" s="113"/>
      <c r="C428" s="114"/>
      <c r="D428" s="114"/>
      <c r="E428" s="114"/>
      <c r="F428" s="114"/>
      <c r="G428" s="113"/>
      <c r="H428" s="114"/>
      <c r="I428" s="114"/>
      <c r="J428" s="114"/>
      <c r="K428" s="114"/>
      <c r="L428" s="114"/>
      <c r="M428" s="114"/>
      <c r="N428" s="114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2"/>
      <c r="AC428" s="5"/>
      <c r="AD428" s="5"/>
      <c r="AE428" s="5"/>
      <c r="AF428" s="5"/>
      <c r="AG428" s="5"/>
      <c r="AH428" s="5"/>
      <c r="AI428" s="5"/>
      <c r="AJ428" s="5"/>
      <c r="AK428" s="5"/>
      <c r="AL428" s="112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</row>
    <row r="429" ht="18.0" customHeight="1">
      <c r="A429" s="109"/>
      <c r="B429" s="113"/>
      <c r="C429" s="114"/>
      <c r="D429" s="114"/>
      <c r="E429" s="114"/>
      <c r="F429" s="114"/>
      <c r="G429" s="113"/>
      <c r="H429" s="114"/>
      <c r="I429" s="114"/>
      <c r="J429" s="114"/>
      <c r="K429" s="114"/>
      <c r="L429" s="114"/>
      <c r="M429" s="114"/>
      <c r="N429" s="114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2"/>
      <c r="AC429" s="5"/>
      <c r="AD429" s="5"/>
      <c r="AE429" s="5"/>
      <c r="AF429" s="5"/>
      <c r="AG429" s="5"/>
      <c r="AH429" s="5"/>
      <c r="AI429" s="5"/>
      <c r="AJ429" s="5"/>
      <c r="AK429" s="5"/>
      <c r="AL429" s="112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</row>
    <row r="430" ht="18.0" customHeight="1">
      <c r="A430" s="109"/>
      <c r="B430" s="113"/>
      <c r="C430" s="114"/>
      <c r="D430" s="114"/>
      <c r="E430" s="114"/>
      <c r="F430" s="114"/>
      <c r="G430" s="113"/>
      <c r="H430" s="114"/>
      <c r="I430" s="114"/>
      <c r="J430" s="114"/>
      <c r="K430" s="114"/>
      <c r="L430" s="114"/>
      <c r="M430" s="114"/>
      <c r="N430" s="114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2"/>
      <c r="AC430" s="5"/>
      <c r="AD430" s="5"/>
      <c r="AE430" s="5"/>
      <c r="AF430" s="5"/>
      <c r="AG430" s="5"/>
      <c r="AH430" s="5"/>
      <c r="AI430" s="5"/>
      <c r="AJ430" s="5"/>
      <c r="AK430" s="5"/>
      <c r="AL430" s="112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</row>
    <row r="431" ht="18.0" customHeight="1">
      <c r="A431" s="109"/>
      <c r="B431" s="113"/>
      <c r="C431" s="114"/>
      <c r="D431" s="114"/>
      <c r="E431" s="114"/>
      <c r="F431" s="114"/>
      <c r="G431" s="113"/>
      <c r="H431" s="114"/>
      <c r="I431" s="114"/>
      <c r="J431" s="114"/>
      <c r="K431" s="114"/>
      <c r="L431" s="114"/>
      <c r="M431" s="114"/>
      <c r="N431" s="114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2"/>
      <c r="AC431" s="5"/>
      <c r="AD431" s="5"/>
      <c r="AE431" s="5"/>
      <c r="AF431" s="5"/>
      <c r="AG431" s="5"/>
      <c r="AH431" s="5"/>
      <c r="AI431" s="5"/>
      <c r="AJ431" s="5"/>
      <c r="AK431" s="5"/>
      <c r="AL431" s="112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</row>
    <row r="432" ht="18.0" customHeight="1">
      <c r="A432" s="109"/>
      <c r="B432" s="113"/>
      <c r="C432" s="114"/>
      <c r="D432" s="114"/>
      <c r="E432" s="114"/>
      <c r="F432" s="114"/>
      <c r="G432" s="113"/>
      <c r="H432" s="114"/>
      <c r="I432" s="114"/>
      <c r="J432" s="114"/>
      <c r="K432" s="114"/>
      <c r="L432" s="114"/>
      <c r="M432" s="114"/>
      <c r="N432" s="114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2"/>
      <c r="AC432" s="5"/>
      <c r="AD432" s="5"/>
      <c r="AE432" s="5"/>
      <c r="AF432" s="5"/>
      <c r="AG432" s="5"/>
      <c r="AH432" s="5"/>
      <c r="AI432" s="5"/>
      <c r="AJ432" s="5"/>
      <c r="AK432" s="5"/>
      <c r="AL432" s="112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</row>
    <row r="433" ht="18.0" customHeight="1">
      <c r="A433" s="109"/>
      <c r="B433" s="113"/>
      <c r="C433" s="114"/>
      <c r="D433" s="114"/>
      <c r="E433" s="114"/>
      <c r="F433" s="114"/>
      <c r="G433" s="113"/>
      <c r="H433" s="114"/>
      <c r="I433" s="114"/>
      <c r="J433" s="114"/>
      <c r="K433" s="114"/>
      <c r="L433" s="114"/>
      <c r="M433" s="114"/>
      <c r="N433" s="114"/>
      <c r="O433" s="110"/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  <c r="Z433" s="110"/>
      <c r="AA433" s="110"/>
      <c r="AB433" s="112"/>
      <c r="AC433" s="5"/>
      <c r="AD433" s="5"/>
      <c r="AE433" s="5"/>
      <c r="AF433" s="5"/>
      <c r="AG433" s="5"/>
      <c r="AH433" s="5"/>
      <c r="AI433" s="5"/>
      <c r="AJ433" s="5"/>
      <c r="AK433" s="5"/>
      <c r="AL433" s="112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</row>
    <row r="434" ht="18.0" customHeight="1">
      <c r="A434" s="109"/>
      <c r="B434" s="113"/>
      <c r="C434" s="114"/>
      <c r="D434" s="114"/>
      <c r="E434" s="114"/>
      <c r="F434" s="114"/>
      <c r="G434" s="113"/>
      <c r="H434" s="114"/>
      <c r="I434" s="114"/>
      <c r="J434" s="114"/>
      <c r="K434" s="114"/>
      <c r="L434" s="114"/>
      <c r="M434" s="114"/>
      <c r="N434" s="114"/>
      <c r="O434" s="110"/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  <c r="Z434" s="110"/>
      <c r="AA434" s="110"/>
      <c r="AB434" s="112"/>
      <c r="AC434" s="5"/>
      <c r="AD434" s="5"/>
      <c r="AE434" s="5"/>
      <c r="AF434" s="5"/>
      <c r="AG434" s="5"/>
      <c r="AH434" s="5"/>
      <c r="AI434" s="5"/>
      <c r="AJ434" s="5"/>
      <c r="AK434" s="5"/>
      <c r="AL434" s="112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</row>
    <row r="435" ht="18.0" customHeight="1">
      <c r="A435" s="109"/>
      <c r="B435" s="113"/>
      <c r="C435" s="114"/>
      <c r="D435" s="114"/>
      <c r="E435" s="114"/>
      <c r="F435" s="114"/>
      <c r="G435" s="113"/>
      <c r="H435" s="114"/>
      <c r="I435" s="114"/>
      <c r="J435" s="114"/>
      <c r="K435" s="114"/>
      <c r="L435" s="114"/>
      <c r="M435" s="114"/>
      <c r="N435" s="114"/>
      <c r="O435" s="110"/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  <c r="Z435" s="110"/>
      <c r="AA435" s="110"/>
      <c r="AB435" s="112"/>
      <c r="AC435" s="5"/>
      <c r="AD435" s="5"/>
      <c r="AE435" s="5"/>
      <c r="AF435" s="5"/>
      <c r="AG435" s="5"/>
      <c r="AH435" s="5"/>
      <c r="AI435" s="5"/>
      <c r="AJ435" s="5"/>
      <c r="AK435" s="5"/>
      <c r="AL435" s="112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</row>
    <row r="436" ht="18.0" customHeight="1">
      <c r="A436" s="109"/>
      <c r="B436" s="113"/>
      <c r="C436" s="114"/>
      <c r="D436" s="114"/>
      <c r="E436" s="114"/>
      <c r="F436" s="114"/>
      <c r="G436" s="113"/>
      <c r="H436" s="114"/>
      <c r="I436" s="114"/>
      <c r="J436" s="114"/>
      <c r="K436" s="114"/>
      <c r="L436" s="114"/>
      <c r="M436" s="114"/>
      <c r="N436" s="114"/>
      <c r="O436" s="110"/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  <c r="Z436" s="110"/>
      <c r="AA436" s="110"/>
      <c r="AB436" s="112"/>
      <c r="AC436" s="5"/>
      <c r="AD436" s="5"/>
      <c r="AE436" s="5"/>
      <c r="AF436" s="5"/>
      <c r="AG436" s="5"/>
      <c r="AH436" s="5"/>
      <c r="AI436" s="5"/>
      <c r="AJ436" s="5"/>
      <c r="AK436" s="5"/>
      <c r="AL436" s="112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</row>
    <row r="437" ht="18.0" customHeight="1">
      <c r="A437" s="109"/>
      <c r="B437" s="113"/>
      <c r="C437" s="114"/>
      <c r="D437" s="114"/>
      <c r="E437" s="114"/>
      <c r="F437" s="114"/>
      <c r="G437" s="113"/>
      <c r="H437" s="114"/>
      <c r="I437" s="114"/>
      <c r="J437" s="114"/>
      <c r="K437" s="114"/>
      <c r="L437" s="114"/>
      <c r="M437" s="114"/>
      <c r="N437" s="114"/>
      <c r="O437" s="110"/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  <c r="Z437" s="110"/>
      <c r="AA437" s="110"/>
      <c r="AB437" s="112"/>
      <c r="AC437" s="5"/>
      <c r="AD437" s="5"/>
      <c r="AE437" s="5"/>
      <c r="AF437" s="5"/>
      <c r="AG437" s="5"/>
      <c r="AH437" s="5"/>
      <c r="AI437" s="5"/>
      <c r="AJ437" s="5"/>
      <c r="AK437" s="5"/>
      <c r="AL437" s="112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</row>
    <row r="438" ht="18.0" customHeight="1">
      <c r="A438" s="109"/>
      <c r="B438" s="113"/>
      <c r="C438" s="114"/>
      <c r="D438" s="114"/>
      <c r="E438" s="114"/>
      <c r="F438" s="114"/>
      <c r="G438" s="113"/>
      <c r="H438" s="114"/>
      <c r="I438" s="114"/>
      <c r="J438" s="114"/>
      <c r="K438" s="114"/>
      <c r="L438" s="114"/>
      <c r="M438" s="114"/>
      <c r="N438" s="114"/>
      <c r="O438" s="110"/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  <c r="Z438" s="110"/>
      <c r="AA438" s="110"/>
      <c r="AB438" s="112"/>
      <c r="AC438" s="5"/>
      <c r="AD438" s="5"/>
      <c r="AE438" s="5"/>
      <c r="AF438" s="5"/>
      <c r="AG438" s="5"/>
      <c r="AH438" s="5"/>
      <c r="AI438" s="5"/>
      <c r="AJ438" s="5"/>
      <c r="AK438" s="5"/>
      <c r="AL438" s="112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</row>
    <row r="439" ht="18.0" customHeight="1">
      <c r="A439" s="109"/>
      <c r="B439" s="113"/>
      <c r="C439" s="114"/>
      <c r="D439" s="114"/>
      <c r="E439" s="114"/>
      <c r="F439" s="114"/>
      <c r="G439" s="113"/>
      <c r="H439" s="114"/>
      <c r="I439" s="114"/>
      <c r="J439" s="114"/>
      <c r="K439" s="114"/>
      <c r="L439" s="114"/>
      <c r="M439" s="114"/>
      <c r="N439" s="114"/>
      <c r="O439" s="110"/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  <c r="Z439" s="110"/>
      <c r="AA439" s="110"/>
      <c r="AB439" s="112"/>
      <c r="AC439" s="5"/>
      <c r="AD439" s="5"/>
      <c r="AE439" s="5"/>
      <c r="AF439" s="5"/>
      <c r="AG439" s="5"/>
      <c r="AH439" s="5"/>
      <c r="AI439" s="5"/>
      <c r="AJ439" s="5"/>
      <c r="AK439" s="5"/>
      <c r="AL439" s="112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</row>
    <row r="440" ht="18.0" customHeight="1">
      <c r="A440" s="109"/>
      <c r="B440" s="113"/>
      <c r="C440" s="114"/>
      <c r="D440" s="114"/>
      <c r="E440" s="114"/>
      <c r="F440" s="114"/>
      <c r="G440" s="113"/>
      <c r="H440" s="114"/>
      <c r="I440" s="114"/>
      <c r="J440" s="114"/>
      <c r="K440" s="114"/>
      <c r="L440" s="114"/>
      <c r="M440" s="114"/>
      <c r="N440" s="114"/>
      <c r="O440" s="110"/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  <c r="Z440" s="110"/>
      <c r="AA440" s="110"/>
      <c r="AB440" s="112"/>
      <c r="AC440" s="5"/>
      <c r="AD440" s="5"/>
      <c r="AE440" s="5"/>
      <c r="AF440" s="5"/>
      <c r="AG440" s="5"/>
      <c r="AH440" s="5"/>
      <c r="AI440" s="5"/>
      <c r="AJ440" s="5"/>
      <c r="AK440" s="5"/>
      <c r="AL440" s="112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</row>
    <row r="441" ht="18.0" customHeight="1">
      <c r="A441" s="109"/>
      <c r="B441" s="113"/>
      <c r="C441" s="114"/>
      <c r="D441" s="114"/>
      <c r="E441" s="114"/>
      <c r="F441" s="114"/>
      <c r="G441" s="113"/>
      <c r="H441" s="114"/>
      <c r="I441" s="114"/>
      <c r="J441" s="114"/>
      <c r="K441" s="114"/>
      <c r="L441" s="114"/>
      <c r="M441" s="114"/>
      <c r="N441" s="114"/>
      <c r="O441" s="110"/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  <c r="Z441" s="110"/>
      <c r="AA441" s="110"/>
      <c r="AB441" s="112"/>
      <c r="AC441" s="5"/>
      <c r="AD441" s="5"/>
      <c r="AE441" s="5"/>
      <c r="AF441" s="5"/>
      <c r="AG441" s="5"/>
      <c r="AH441" s="5"/>
      <c r="AI441" s="5"/>
      <c r="AJ441" s="5"/>
      <c r="AK441" s="5"/>
      <c r="AL441" s="112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</row>
    <row r="442" ht="18.0" customHeight="1">
      <c r="A442" s="109"/>
      <c r="B442" s="113"/>
      <c r="C442" s="114"/>
      <c r="D442" s="114"/>
      <c r="E442" s="114"/>
      <c r="F442" s="114"/>
      <c r="G442" s="113"/>
      <c r="H442" s="114"/>
      <c r="I442" s="114"/>
      <c r="J442" s="114"/>
      <c r="K442" s="114"/>
      <c r="L442" s="114"/>
      <c r="M442" s="114"/>
      <c r="N442" s="114"/>
      <c r="O442" s="110"/>
      <c r="P442" s="110"/>
      <c r="Q442" s="110"/>
      <c r="R442" s="110"/>
      <c r="S442" s="110"/>
      <c r="T442" s="110"/>
      <c r="U442" s="110"/>
      <c r="V442" s="110"/>
      <c r="W442" s="110"/>
      <c r="X442" s="110"/>
      <c r="Y442" s="110"/>
      <c r="Z442" s="110"/>
      <c r="AA442" s="110"/>
      <c r="AB442" s="112"/>
      <c r="AC442" s="5"/>
      <c r="AD442" s="5"/>
      <c r="AE442" s="5"/>
      <c r="AF442" s="5"/>
      <c r="AG442" s="5"/>
      <c r="AH442" s="5"/>
      <c r="AI442" s="5"/>
      <c r="AJ442" s="5"/>
      <c r="AK442" s="5"/>
      <c r="AL442" s="112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</row>
    <row r="443" ht="18.0" customHeight="1">
      <c r="A443" s="109"/>
      <c r="B443" s="113"/>
      <c r="C443" s="114"/>
      <c r="D443" s="114"/>
      <c r="E443" s="114"/>
      <c r="F443" s="114"/>
      <c r="G443" s="113"/>
      <c r="H443" s="114"/>
      <c r="I443" s="114"/>
      <c r="J443" s="114"/>
      <c r="K443" s="114"/>
      <c r="L443" s="114"/>
      <c r="M443" s="114"/>
      <c r="N443" s="114"/>
      <c r="O443" s="110"/>
      <c r="P443" s="110"/>
      <c r="Q443" s="110"/>
      <c r="R443" s="110"/>
      <c r="S443" s="110"/>
      <c r="T443" s="110"/>
      <c r="U443" s="110"/>
      <c r="V443" s="110"/>
      <c r="W443" s="110"/>
      <c r="X443" s="110"/>
      <c r="Y443" s="110"/>
      <c r="Z443" s="110"/>
      <c r="AA443" s="110"/>
      <c r="AB443" s="112"/>
      <c r="AC443" s="5"/>
      <c r="AD443" s="5"/>
      <c r="AE443" s="5"/>
      <c r="AF443" s="5"/>
      <c r="AG443" s="5"/>
      <c r="AH443" s="5"/>
      <c r="AI443" s="5"/>
      <c r="AJ443" s="5"/>
      <c r="AK443" s="5"/>
      <c r="AL443" s="112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</row>
    <row r="444" ht="18.0" customHeight="1">
      <c r="A444" s="109"/>
      <c r="B444" s="113"/>
      <c r="C444" s="114"/>
      <c r="D444" s="114"/>
      <c r="E444" s="114"/>
      <c r="F444" s="114"/>
      <c r="G444" s="113"/>
      <c r="H444" s="114"/>
      <c r="I444" s="114"/>
      <c r="J444" s="114"/>
      <c r="K444" s="114"/>
      <c r="L444" s="114"/>
      <c r="M444" s="114"/>
      <c r="N444" s="114"/>
      <c r="O444" s="110"/>
      <c r="P444" s="110"/>
      <c r="Q444" s="110"/>
      <c r="R444" s="110"/>
      <c r="S444" s="110"/>
      <c r="T444" s="110"/>
      <c r="U444" s="110"/>
      <c r="V444" s="110"/>
      <c r="W444" s="110"/>
      <c r="X444" s="110"/>
      <c r="Y444" s="110"/>
      <c r="Z444" s="110"/>
      <c r="AA444" s="110"/>
      <c r="AB444" s="112"/>
      <c r="AC444" s="5"/>
      <c r="AD444" s="5"/>
      <c r="AE444" s="5"/>
      <c r="AF444" s="5"/>
      <c r="AG444" s="5"/>
      <c r="AH444" s="5"/>
      <c r="AI444" s="5"/>
      <c r="AJ444" s="5"/>
      <c r="AK444" s="5"/>
      <c r="AL444" s="112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</row>
    <row r="445" ht="18.0" customHeight="1">
      <c r="A445" s="109"/>
      <c r="B445" s="113"/>
      <c r="C445" s="114"/>
      <c r="D445" s="114"/>
      <c r="E445" s="114"/>
      <c r="F445" s="114"/>
      <c r="G445" s="113"/>
      <c r="H445" s="114"/>
      <c r="I445" s="114"/>
      <c r="J445" s="114"/>
      <c r="K445" s="114"/>
      <c r="L445" s="114"/>
      <c r="M445" s="114"/>
      <c r="N445" s="114"/>
      <c r="O445" s="110"/>
      <c r="P445" s="110"/>
      <c r="Q445" s="110"/>
      <c r="R445" s="110"/>
      <c r="S445" s="110"/>
      <c r="T445" s="110"/>
      <c r="U445" s="110"/>
      <c r="V445" s="110"/>
      <c r="W445" s="110"/>
      <c r="X445" s="110"/>
      <c r="Y445" s="110"/>
      <c r="Z445" s="110"/>
      <c r="AA445" s="110"/>
      <c r="AB445" s="112"/>
      <c r="AC445" s="5"/>
      <c r="AD445" s="5"/>
      <c r="AE445" s="5"/>
      <c r="AF445" s="5"/>
      <c r="AG445" s="5"/>
      <c r="AH445" s="5"/>
      <c r="AI445" s="5"/>
      <c r="AJ445" s="5"/>
      <c r="AK445" s="5"/>
      <c r="AL445" s="112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</row>
    <row r="446" ht="18.0" customHeight="1">
      <c r="A446" s="109"/>
      <c r="B446" s="113"/>
      <c r="C446" s="114"/>
      <c r="D446" s="114"/>
      <c r="E446" s="114"/>
      <c r="F446" s="114"/>
      <c r="G446" s="113"/>
      <c r="H446" s="114"/>
      <c r="I446" s="114"/>
      <c r="J446" s="114"/>
      <c r="K446" s="114"/>
      <c r="L446" s="114"/>
      <c r="M446" s="114"/>
      <c r="N446" s="114"/>
      <c r="O446" s="110"/>
      <c r="P446" s="110"/>
      <c r="Q446" s="110"/>
      <c r="R446" s="110"/>
      <c r="S446" s="110"/>
      <c r="T446" s="110"/>
      <c r="U446" s="110"/>
      <c r="V446" s="110"/>
      <c r="W446" s="110"/>
      <c r="X446" s="110"/>
      <c r="Y446" s="110"/>
      <c r="Z446" s="110"/>
      <c r="AA446" s="110"/>
      <c r="AB446" s="112"/>
      <c r="AC446" s="5"/>
      <c r="AD446" s="5"/>
      <c r="AE446" s="5"/>
      <c r="AF446" s="5"/>
      <c r="AG446" s="5"/>
      <c r="AH446" s="5"/>
      <c r="AI446" s="5"/>
      <c r="AJ446" s="5"/>
      <c r="AK446" s="5"/>
      <c r="AL446" s="112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</row>
    <row r="447" ht="18.0" customHeight="1">
      <c r="A447" s="109"/>
      <c r="B447" s="113"/>
      <c r="C447" s="114"/>
      <c r="D447" s="114"/>
      <c r="E447" s="114"/>
      <c r="F447" s="114"/>
      <c r="G447" s="113"/>
      <c r="H447" s="114"/>
      <c r="I447" s="114"/>
      <c r="J447" s="114"/>
      <c r="K447" s="114"/>
      <c r="L447" s="114"/>
      <c r="M447" s="114"/>
      <c r="N447" s="114"/>
      <c r="O447" s="110"/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  <c r="Z447" s="110"/>
      <c r="AA447" s="110"/>
      <c r="AB447" s="112"/>
      <c r="AC447" s="5"/>
      <c r="AD447" s="5"/>
      <c r="AE447" s="5"/>
      <c r="AF447" s="5"/>
      <c r="AG447" s="5"/>
      <c r="AH447" s="5"/>
      <c r="AI447" s="5"/>
      <c r="AJ447" s="5"/>
      <c r="AK447" s="5"/>
      <c r="AL447" s="112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</row>
    <row r="448" ht="18.0" customHeight="1">
      <c r="A448" s="109"/>
      <c r="B448" s="113"/>
      <c r="C448" s="114"/>
      <c r="D448" s="114"/>
      <c r="E448" s="114"/>
      <c r="F448" s="114"/>
      <c r="G448" s="113"/>
      <c r="H448" s="114"/>
      <c r="I448" s="114"/>
      <c r="J448" s="114"/>
      <c r="K448" s="114"/>
      <c r="L448" s="114"/>
      <c r="M448" s="114"/>
      <c r="N448" s="114"/>
      <c r="O448" s="110"/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  <c r="Z448" s="110"/>
      <c r="AA448" s="110"/>
      <c r="AB448" s="112"/>
      <c r="AC448" s="5"/>
      <c r="AD448" s="5"/>
      <c r="AE448" s="5"/>
      <c r="AF448" s="5"/>
      <c r="AG448" s="5"/>
      <c r="AH448" s="5"/>
      <c r="AI448" s="5"/>
      <c r="AJ448" s="5"/>
      <c r="AK448" s="5"/>
      <c r="AL448" s="112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</row>
    <row r="449" ht="18.0" customHeight="1">
      <c r="A449" s="109"/>
      <c r="B449" s="113"/>
      <c r="C449" s="114"/>
      <c r="D449" s="114"/>
      <c r="E449" s="114"/>
      <c r="F449" s="114"/>
      <c r="G449" s="113"/>
      <c r="H449" s="114"/>
      <c r="I449" s="114"/>
      <c r="J449" s="114"/>
      <c r="K449" s="114"/>
      <c r="L449" s="114"/>
      <c r="M449" s="114"/>
      <c r="N449" s="114"/>
      <c r="O449" s="110"/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  <c r="Z449" s="110"/>
      <c r="AA449" s="110"/>
      <c r="AB449" s="112"/>
      <c r="AC449" s="5"/>
      <c r="AD449" s="5"/>
      <c r="AE449" s="5"/>
      <c r="AF449" s="5"/>
      <c r="AG449" s="5"/>
      <c r="AH449" s="5"/>
      <c r="AI449" s="5"/>
      <c r="AJ449" s="5"/>
      <c r="AK449" s="5"/>
      <c r="AL449" s="112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</row>
    <row r="450" ht="18.0" customHeight="1">
      <c r="A450" s="109"/>
      <c r="B450" s="113"/>
      <c r="C450" s="114"/>
      <c r="D450" s="114"/>
      <c r="E450" s="114"/>
      <c r="F450" s="114"/>
      <c r="G450" s="113"/>
      <c r="H450" s="114"/>
      <c r="I450" s="114"/>
      <c r="J450" s="114"/>
      <c r="K450" s="114"/>
      <c r="L450" s="114"/>
      <c r="M450" s="114"/>
      <c r="N450" s="114"/>
      <c r="O450" s="110"/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  <c r="Z450" s="110"/>
      <c r="AA450" s="110"/>
      <c r="AB450" s="112"/>
      <c r="AC450" s="5"/>
      <c r="AD450" s="5"/>
      <c r="AE450" s="5"/>
      <c r="AF450" s="5"/>
      <c r="AG450" s="5"/>
      <c r="AH450" s="5"/>
      <c r="AI450" s="5"/>
      <c r="AJ450" s="5"/>
      <c r="AK450" s="5"/>
      <c r="AL450" s="112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</row>
    <row r="451" ht="18.0" customHeight="1">
      <c r="A451" s="109"/>
      <c r="B451" s="113"/>
      <c r="C451" s="114"/>
      <c r="D451" s="114"/>
      <c r="E451" s="114"/>
      <c r="F451" s="114"/>
      <c r="G451" s="113"/>
      <c r="H451" s="114"/>
      <c r="I451" s="114"/>
      <c r="J451" s="114"/>
      <c r="K451" s="114"/>
      <c r="L451" s="114"/>
      <c r="M451" s="114"/>
      <c r="N451" s="114"/>
      <c r="O451" s="110"/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  <c r="Z451" s="110"/>
      <c r="AA451" s="110"/>
      <c r="AB451" s="112"/>
      <c r="AC451" s="5"/>
      <c r="AD451" s="5"/>
      <c r="AE451" s="5"/>
      <c r="AF451" s="5"/>
      <c r="AG451" s="5"/>
      <c r="AH451" s="5"/>
      <c r="AI451" s="5"/>
      <c r="AJ451" s="5"/>
      <c r="AK451" s="5"/>
      <c r="AL451" s="112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</row>
    <row r="452" ht="18.0" customHeight="1">
      <c r="A452" s="109"/>
      <c r="B452" s="113"/>
      <c r="C452" s="114"/>
      <c r="D452" s="114"/>
      <c r="E452" s="114"/>
      <c r="F452" s="114"/>
      <c r="G452" s="113"/>
      <c r="H452" s="114"/>
      <c r="I452" s="114"/>
      <c r="J452" s="114"/>
      <c r="K452" s="114"/>
      <c r="L452" s="114"/>
      <c r="M452" s="114"/>
      <c r="N452" s="114"/>
      <c r="O452" s="110"/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  <c r="Z452" s="110"/>
      <c r="AA452" s="110"/>
      <c r="AB452" s="112"/>
      <c r="AC452" s="5"/>
      <c r="AD452" s="5"/>
      <c r="AE452" s="5"/>
      <c r="AF452" s="5"/>
      <c r="AG452" s="5"/>
      <c r="AH452" s="5"/>
      <c r="AI452" s="5"/>
      <c r="AJ452" s="5"/>
      <c r="AK452" s="5"/>
      <c r="AL452" s="112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</row>
    <row r="453" ht="18.0" customHeight="1">
      <c r="A453" s="109"/>
      <c r="B453" s="113"/>
      <c r="C453" s="114"/>
      <c r="D453" s="114"/>
      <c r="E453" s="114"/>
      <c r="F453" s="114"/>
      <c r="G453" s="113"/>
      <c r="H453" s="114"/>
      <c r="I453" s="114"/>
      <c r="J453" s="114"/>
      <c r="K453" s="114"/>
      <c r="L453" s="114"/>
      <c r="M453" s="114"/>
      <c r="N453" s="114"/>
      <c r="O453" s="110"/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  <c r="Z453" s="110"/>
      <c r="AA453" s="110"/>
      <c r="AB453" s="112"/>
      <c r="AC453" s="5"/>
      <c r="AD453" s="5"/>
      <c r="AE453" s="5"/>
      <c r="AF453" s="5"/>
      <c r="AG453" s="5"/>
      <c r="AH453" s="5"/>
      <c r="AI453" s="5"/>
      <c r="AJ453" s="5"/>
      <c r="AK453" s="5"/>
      <c r="AL453" s="112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</row>
    <row r="454" ht="18.0" customHeight="1">
      <c r="A454" s="109"/>
      <c r="B454" s="113"/>
      <c r="C454" s="114"/>
      <c r="D454" s="114"/>
      <c r="E454" s="114"/>
      <c r="F454" s="114"/>
      <c r="G454" s="113"/>
      <c r="H454" s="114"/>
      <c r="I454" s="114"/>
      <c r="J454" s="114"/>
      <c r="K454" s="114"/>
      <c r="L454" s="114"/>
      <c r="M454" s="114"/>
      <c r="N454" s="114"/>
      <c r="O454" s="110"/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  <c r="Z454" s="110"/>
      <c r="AA454" s="110"/>
      <c r="AB454" s="112"/>
      <c r="AC454" s="5"/>
      <c r="AD454" s="5"/>
      <c r="AE454" s="5"/>
      <c r="AF454" s="5"/>
      <c r="AG454" s="5"/>
      <c r="AH454" s="5"/>
      <c r="AI454" s="5"/>
      <c r="AJ454" s="5"/>
      <c r="AK454" s="5"/>
      <c r="AL454" s="112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</row>
    <row r="455" ht="18.0" customHeight="1">
      <c r="A455" s="109"/>
      <c r="B455" s="113"/>
      <c r="C455" s="114"/>
      <c r="D455" s="114"/>
      <c r="E455" s="114"/>
      <c r="F455" s="114"/>
      <c r="G455" s="113"/>
      <c r="H455" s="114"/>
      <c r="I455" s="114"/>
      <c r="J455" s="114"/>
      <c r="K455" s="114"/>
      <c r="L455" s="114"/>
      <c r="M455" s="114"/>
      <c r="N455" s="114"/>
      <c r="O455" s="110"/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  <c r="Z455" s="110"/>
      <c r="AA455" s="110"/>
      <c r="AB455" s="112"/>
      <c r="AC455" s="5"/>
      <c r="AD455" s="5"/>
      <c r="AE455" s="5"/>
      <c r="AF455" s="5"/>
      <c r="AG455" s="5"/>
      <c r="AH455" s="5"/>
      <c r="AI455" s="5"/>
      <c r="AJ455" s="5"/>
      <c r="AK455" s="5"/>
      <c r="AL455" s="112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</row>
    <row r="456" ht="18.0" customHeight="1">
      <c r="A456" s="109"/>
      <c r="B456" s="113"/>
      <c r="C456" s="114"/>
      <c r="D456" s="114"/>
      <c r="E456" s="114"/>
      <c r="F456" s="114"/>
      <c r="G456" s="113"/>
      <c r="H456" s="114"/>
      <c r="I456" s="114"/>
      <c r="J456" s="114"/>
      <c r="K456" s="114"/>
      <c r="L456" s="114"/>
      <c r="M456" s="114"/>
      <c r="N456" s="114"/>
      <c r="O456" s="110"/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  <c r="Z456" s="110"/>
      <c r="AA456" s="110"/>
      <c r="AB456" s="112"/>
      <c r="AC456" s="5"/>
      <c r="AD456" s="5"/>
      <c r="AE456" s="5"/>
      <c r="AF456" s="5"/>
      <c r="AG456" s="5"/>
      <c r="AH456" s="5"/>
      <c r="AI456" s="5"/>
      <c r="AJ456" s="5"/>
      <c r="AK456" s="5"/>
      <c r="AL456" s="112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</row>
    <row r="457" ht="18.0" customHeight="1">
      <c r="A457" s="109"/>
      <c r="B457" s="113"/>
      <c r="C457" s="114"/>
      <c r="D457" s="114"/>
      <c r="E457" s="114"/>
      <c r="F457" s="114"/>
      <c r="G457" s="113"/>
      <c r="H457" s="114"/>
      <c r="I457" s="114"/>
      <c r="J457" s="114"/>
      <c r="K457" s="114"/>
      <c r="L457" s="114"/>
      <c r="M457" s="114"/>
      <c r="N457" s="114"/>
      <c r="O457" s="110"/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  <c r="Z457" s="110"/>
      <c r="AA457" s="110"/>
      <c r="AB457" s="112"/>
      <c r="AC457" s="5"/>
      <c r="AD457" s="5"/>
      <c r="AE457" s="5"/>
      <c r="AF457" s="5"/>
      <c r="AG457" s="5"/>
      <c r="AH457" s="5"/>
      <c r="AI457" s="5"/>
      <c r="AJ457" s="5"/>
      <c r="AK457" s="5"/>
      <c r="AL457" s="112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</row>
    <row r="458" ht="18.0" customHeight="1">
      <c r="A458" s="109"/>
      <c r="B458" s="113"/>
      <c r="C458" s="114"/>
      <c r="D458" s="114"/>
      <c r="E458" s="114"/>
      <c r="F458" s="114"/>
      <c r="G458" s="113"/>
      <c r="H458" s="114"/>
      <c r="I458" s="114"/>
      <c r="J458" s="114"/>
      <c r="K458" s="114"/>
      <c r="L458" s="114"/>
      <c r="M458" s="114"/>
      <c r="N458" s="114"/>
      <c r="O458" s="110"/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  <c r="Z458" s="110"/>
      <c r="AA458" s="110"/>
      <c r="AB458" s="112"/>
      <c r="AC458" s="5"/>
      <c r="AD458" s="5"/>
      <c r="AE458" s="5"/>
      <c r="AF458" s="5"/>
      <c r="AG458" s="5"/>
      <c r="AH458" s="5"/>
      <c r="AI458" s="5"/>
      <c r="AJ458" s="5"/>
      <c r="AK458" s="5"/>
      <c r="AL458" s="112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</row>
    <row r="459" ht="18.0" customHeight="1">
      <c r="A459" s="109"/>
      <c r="B459" s="113"/>
      <c r="C459" s="114"/>
      <c r="D459" s="114"/>
      <c r="E459" s="114"/>
      <c r="F459" s="114"/>
      <c r="G459" s="113"/>
      <c r="H459" s="114"/>
      <c r="I459" s="114"/>
      <c r="J459" s="114"/>
      <c r="K459" s="114"/>
      <c r="L459" s="114"/>
      <c r="M459" s="114"/>
      <c r="N459" s="114"/>
      <c r="O459" s="110"/>
      <c r="P459" s="110"/>
      <c r="Q459" s="110"/>
      <c r="R459" s="110"/>
      <c r="S459" s="110"/>
      <c r="T459" s="110"/>
      <c r="U459" s="110"/>
      <c r="V459" s="110"/>
      <c r="W459" s="110"/>
      <c r="X459" s="110"/>
      <c r="Y459" s="110"/>
      <c r="Z459" s="110"/>
      <c r="AA459" s="110"/>
      <c r="AB459" s="112"/>
      <c r="AC459" s="5"/>
      <c r="AD459" s="5"/>
      <c r="AE459" s="5"/>
      <c r="AF459" s="5"/>
      <c r="AG459" s="5"/>
      <c r="AH459" s="5"/>
      <c r="AI459" s="5"/>
      <c r="AJ459" s="5"/>
      <c r="AK459" s="5"/>
      <c r="AL459" s="112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</row>
    <row r="460" ht="18.0" customHeight="1">
      <c r="A460" s="109"/>
      <c r="B460" s="113"/>
      <c r="C460" s="114"/>
      <c r="D460" s="114"/>
      <c r="E460" s="114"/>
      <c r="F460" s="114"/>
      <c r="G460" s="113"/>
      <c r="H460" s="114"/>
      <c r="I460" s="114"/>
      <c r="J460" s="114"/>
      <c r="K460" s="114"/>
      <c r="L460" s="114"/>
      <c r="M460" s="114"/>
      <c r="N460" s="114"/>
      <c r="O460" s="110"/>
      <c r="P460" s="110"/>
      <c r="Q460" s="110"/>
      <c r="R460" s="110"/>
      <c r="S460" s="110"/>
      <c r="T460" s="110"/>
      <c r="U460" s="110"/>
      <c r="V460" s="110"/>
      <c r="W460" s="110"/>
      <c r="X460" s="110"/>
      <c r="Y460" s="110"/>
      <c r="Z460" s="110"/>
      <c r="AA460" s="110"/>
      <c r="AB460" s="112"/>
      <c r="AC460" s="5"/>
      <c r="AD460" s="5"/>
      <c r="AE460" s="5"/>
      <c r="AF460" s="5"/>
      <c r="AG460" s="5"/>
      <c r="AH460" s="5"/>
      <c r="AI460" s="5"/>
      <c r="AJ460" s="5"/>
      <c r="AK460" s="5"/>
      <c r="AL460" s="112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</row>
    <row r="461" ht="18.0" customHeight="1">
      <c r="A461" s="109"/>
      <c r="B461" s="113"/>
      <c r="C461" s="114"/>
      <c r="D461" s="114"/>
      <c r="E461" s="114"/>
      <c r="F461" s="114"/>
      <c r="G461" s="113"/>
      <c r="H461" s="114"/>
      <c r="I461" s="114"/>
      <c r="J461" s="114"/>
      <c r="K461" s="114"/>
      <c r="L461" s="114"/>
      <c r="M461" s="114"/>
      <c r="N461" s="114"/>
      <c r="O461" s="110"/>
      <c r="P461" s="110"/>
      <c r="Q461" s="110"/>
      <c r="R461" s="110"/>
      <c r="S461" s="110"/>
      <c r="T461" s="110"/>
      <c r="U461" s="110"/>
      <c r="V461" s="110"/>
      <c r="W461" s="110"/>
      <c r="X461" s="110"/>
      <c r="Y461" s="110"/>
      <c r="Z461" s="110"/>
      <c r="AA461" s="110"/>
      <c r="AB461" s="112"/>
      <c r="AC461" s="5"/>
      <c r="AD461" s="5"/>
      <c r="AE461" s="5"/>
      <c r="AF461" s="5"/>
      <c r="AG461" s="5"/>
      <c r="AH461" s="5"/>
      <c r="AI461" s="5"/>
      <c r="AJ461" s="5"/>
      <c r="AK461" s="5"/>
      <c r="AL461" s="112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</row>
    <row r="462" ht="18.0" customHeight="1">
      <c r="A462" s="109"/>
      <c r="B462" s="113"/>
      <c r="C462" s="114"/>
      <c r="D462" s="114"/>
      <c r="E462" s="114"/>
      <c r="F462" s="114"/>
      <c r="G462" s="113"/>
      <c r="H462" s="114"/>
      <c r="I462" s="114"/>
      <c r="J462" s="114"/>
      <c r="K462" s="114"/>
      <c r="L462" s="114"/>
      <c r="M462" s="114"/>
      <c r="N462" s="114"/>
      <c r="O462" s="110"/>
      <c r="P462" s="110"/>
      <c r="Q462" s="110"/>
      <c r="R462" s="110"/>
      <c r="S462" s="110"/>
      <c r="T462" s="110"/>
      <c r="U462" s="110"/>
      <c r="V462" s="110"/>
      <c r="W462" s="110"/>
      <c r="X462" s="110"/>
      <c r="Y462" s="110"/>
      <c r="Z462" s="110"/>
      <c r="AA462" s="110"/>
      <c r="AB462" s="112"/>
      <c r="AC462" s="5"/>
      <c r="AD462" s="5"/>
      <c r="AE462" s="5"/>
      <c r="AF462" s="5"/>
      <c r="AG462" s="5"/>
      <c r="AH462" s="5"/>
      <c r="AI462" s="5"/>
      <c r="AJ462" s="5"/>
      <c r="AK462" s="5"/>
      <c r="AL462" s="112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</row>
    <row r="463" ht="18.0" customHeight="1">
      <c r="A463" s="109"/>
      <c r="B463" s="113"/>
      <c r="C463" s="114"/>
      <c r="D463" s="114"/>
      <c r="E463" s="114"/>
      <c r="F463" s="114"/>
      <c r="G463" s="113"/>
      <c r="H463" s="114"/>
      <c r="I463" s="114"/>
      <c r="J463" s="114"/>
      <c r="K463" s="114"/>
      <c r="L463" s="114"/>
      <c r="M463" s="114"/>
      <c r="N463" s="114"/>
      <c r="O463" s="110"/>
      <c r="P463" s="110"/>
      <c r="Q463" s="110"/>
      <c r="R463" s="110"/>
      <c r="S463" s="110"/>
      <c r="T463" s="110"/>
      <c r="U463" s="110"/>
      <c r="V463" s="110"/>
      <c r="W463" s="110"/>
      <c r="X463" s="110"/>
      <c r="Y463" s="110"/>
      <c r="Z463" s="110"/>
      <c r="AA463" s="110"/>
      <c r="AB463" s="112"/>
      <c r="AC463" s="5"/>
      <c r="AD463" s="5"/>
      <c r="AE463" s="5"/>
      <c r="AF463" s="5"/>
      <c r="AG463" s="5"/>
      <c r="AH463" s="5"/>
      <c r="AI463" s="5"/>
      <c r="AJ463" s="5"/>
      <c r="AK463" s="5"/>
      <c r="AL463" s="112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</row>
    <row r="464" ht="18.0" customHeight="1">
      <c r="A464" s="109"/>
      <c r="B464" s="113"/>
      <c r="C464" s="114"/>
      <c r="D464" s="114"/>
      <c r="E464" s="114"/>
      <c r="F464" s="114"/>
      <c r="G464" s="113"/>
      <c r="H464" s="114"/>
      <c r="I464" s="114"/>
      <c r="J464" s="114"/>
      <c r="K464" s="114"/>
      <c r="L464" s="114"/>
      <c r="M464" s="114"/>
      <c r="N464" s="114"/>
      <c r="O464" s="110"/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  <c r="Z464" s="110"/>
      <c r="AA464" s="110"/>
      <c r="AB464" s="112"/>
      <c r="AC464" s="5"/>
      <c r="AD464" s="5"/>
      <c r="AE464" s="5"/>
      <c r="AF464" s="5"/>
      <c r="AG464" s="5"/>
      <c r="AH464" s="5"/>
      <c r="AI464" s="5"/>
      <c r="AJ464" s="5"/>
      <c r="AK464" s="5"/>
      <c r="AL464" s="112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</row>
    <row r="465" ht="18.0" customHeight="1">
      <c r="A465" s="109"/>
      <c r="B465" s="113"/>
      <c r="C465" s="114"/>
      <c r="D465" s="114"/>
      <c r="E465" s="114"/>
      <c r="F465" s="114"/>
      <c r="G465" s="113"/>
      <c r="H465" s="114"/>
      <c r="I465" s="114"/>
      <c r="J465" s="114"/>
      <c r="K465" s="114"/>
      <c r="L465" s="114"/>
      <c r="M465" s="114"/>
      <c r="N465" s="114"/>
      <c r="O465" s="110"/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  <c r="Z465" s="110"/>
      <c r="AA465" s="110"/>
      <c r="AB465" s="112"/>
      <c r="AC465" s="5"/>
      <c r="AD465" s="5"/>
      <c r="AE465" s="5"/>
      <c r="AF465" s="5"/>
      <c r="AG465" s="5"/>
      <c r="AH465" s="5"/>
      <c r="AI465" s="5"/>
      <c r="AJ465" s="5"/>
      <c r="AK465" s="5"/>
      <c r="AL465" s="112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</row>
    <row r="466" ht="18.0" customHeight="1">
      <c r="A466" s="109"/>
      <c r="B466" s="113"/>
      <c r="C466" s="114"/>
      <c r="D466" s="114"/>
      <c r="E466" s="114"/>
      <c r="F466" s="114"/>
      <c r="G466" s="113"/>
      <c r="H466" s="114"/>
      <c r="I466" s="114"/>
      <c r="J466" s="114"/>
      <c r="K466" s="114"/>
      <c r="L466" s="114"/>
      <c r="M466" s="114"/>
      <c r="N466" s="114"/>
      <c r="O466" s="110"/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  <c r="Z466" s="110"/>
      <c r="AA466" s="110"/>
      <c r="AB466" s="112"/>
      <c r="AC466" s="5"/>
      <c r="AD466" s="5"/>
      <c r="AE466" s="5"/>
      <c r="AF466" s="5"/>
      <c r="AG466" s="5"/>
      <c r="AH466" s="5"/>
      <c r="AI466" s="5"/>
      <c r="AJ466" s="5"/>
      <c r="AK466" s="5"/>
      <c r="AL466" s="112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</row>
    <row r="467" ht="18.0" customHeight="1">
      <c r="A467" s="109"/>
      <c r="B467" s="113"/>
      <c r="C467" s="114"/>
      <c r="D467" s="114"/>
      <c r="E467" s="114"/>
      <c r="F467" s="114"/>
      <c r="G467" s="113"/>
      <c r="H467" s="114"/>
      <c r="I467" s="114"/>
      <c r="J467" s="114"/>
      <c r="K467" s="114"/>
      <c r="L467" s="114"/>
      <c r="M467" s="114"/>
      <c r="N467" s="114"/>
      <c r="O467" s="110"/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  <c r="Z467" s="110"/>
      <c r="AA467" s="110"/>
      <c r="AB467" s="112"/>
      <c r="AC467" s="5"/>
      <c r="AD467" s="5"/>
      <c r="AE467" s="5"/>
      <c r="AF467" s="5"/>
      <c r="AG467" s="5"/>
      <c r="AH467" s="5"/>
      <c r="AI467" s="5"/>
      <c r="AJ467" s="5"/>
      <c r="AK467" s="5"/>
      <c r="AL467" s="112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</row>
    <row r="468" ht="18.0" customHeight="1">
      <c r="A468" s="109"/>
      <c r="B468" s="113"/>
      <c r="C468" s="114"/>
      <c r="D468" s="114"/>
      <c r="E468" s="114"/>
      <c r="F468" s="114"/>
      <c r="G468" s="113"/>
      <c r="H468" s="114"/>
      <c r="I468" s="114"/>
      <c r="J468" s="114"/>
      <c r="K468" s="114"/>
      <c r="L468" s="114"/>
      <c r="M468" s="114"/>
      <c r="N468" s="114"/>
      <c r="O468" s="110"/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  <c r="Z468" s="110"/>
      <c r="AA468" s="110"/>
      <c r="AB468" s="112"/>
      <c r="AC468" s="5"/>
      <c r="AD468" s="5"/>
      <c r="AE468" s="5"/>
      <c r="AF468" s="5"/>
      <c r="AG468" s="5"/>
      <c r="AH468" s="5"/>
      <c r="AI468" s="5"/>
      <c r="AJ468" s="5"/>
      <c r="AK468" s="5"/>
      <c r="AL468" s="112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</row>
    <row r="469" ht="18.0" customHeight="1">
      <c r="A469" s="109"/>
      <c r="B469" s="113"/>
      <c r="C469" s="114"/>
      <c r="D469" s="114"/>
      <c r="E469" s="114"/>
      <c r="F469" s="114"/>
      <c r="G469" s="113"/>
      <c r="H469" s="114"/>
      <c r="I469" s="114"/>
      <c r="J469" s="114"/>
      <c r="K469" s="114"/>
      <c r="L469" s="114"/>
      <c r="M469" s="114"/>
      <c r="N469" s="114"/>
      <c r="O469" s="110"/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  <c r="Z469" s="110"/>
      <c r="AA469" s="110"/>
      <c r="AB469" s="112"/>
      <c r="AC469" s="5"/>
      <c r="AD469" s="5"/>
      <c r="AE469" s="5"/>
      <c r="AF469" s="5"/>
      <c r="AG469" s="5"/>
      <c r="AH469" s="5"/>
      <c r="AI469" s="5"/>
      <c r="AJ469" s="5"/>
      <c r="AK469" s="5"/>
      <c r="AL469" s="112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</row>
    <row r="470" ht="18.0" customHeight="1">
      <c r="A470" s="109"/>
      <c r="B470" s="113"/>
      <c r="C470" s="114"/>
      <c r="D470" s="114"/>
      <c r="E470" s="114"/>
      <c r="F470" s="114"/>
      <c r="G470" s="113"/>
      <c r="H470" s="114"/>
      <c r="I470" s="114"/>
      <c r="J470" s="114"/>
      <c r="K470" s="114"/>
      <c r="L470" s="114"/>
      <c r="M470" s="114"/>
      <c r="N470" s="114"/>
      <c r="O470" s="110"/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  <c r="Z470" s="110"/>
      <c r="AA470" s="110"/>
      <c r="AB470" s="112"/>
      <c r="AC470" s="5"/>
      <c r="AD470" s="5"/>
      <c r="AE470" s="5"/>
      <c r="AF470" s="5"/>
      <c r="AG470" s="5"/>
      <c r="AH470" s="5"/>
      <c r="AI470" s="5"/>
      <c r="AJ470" s="5"/>
      <c r="AK470" s="5"/>
      <c r="AL470" s="112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</row>
    <row r="471" ht="18.0" customHeight="1">
      <c r="A471" s="109"/>
      <c r="B471" s="113"/>
      <c r="C471" s="114"/>
      <c r="D471" s="114"/>
      <c r="E471" s="114"/>
      <c r="F471" s="114"/>
      <c r="G471" s="113"/>
      <c r="H471" s="114"/>
      <c r="I471" s="114"/>
      <c r="J471" s="114"/>
      <c r="K471" s="114"/>
      <c r="L471" s="114"/>
      <c r="M471" s="114"/>
      <c r="N471" s="114"/>
      <c r="O471" s="110"/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  <c r="Z471" s="110"/>
      <c r="AA471" s="110"/>
      <c r="AB471" s="112"/>
      <c r="AC471" s="5"/>
      <c r="AD471" s="5"/>
      <c r="AE471" s="5"/>
      <c r="AF471" s="5"/>
      <c r="AG471" s="5"/>
      <c r="AH471" s="5"/>
      <c r="AI471" s="5"/>
      <c r="AJ471" s="5"/>
      <c r="AK471" s="5"/>
      <c r="AL471" s="112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</row>
    <row r="472" ht="18.0" customHeight="1">
      <c r="A472" s="109"/>
      <c r="B472" s="113"/>
      <c r="C472" s="114"/>
      <c r="D472" s="114"/>
      <c r="E472" s="114"/>
      <c r="F472" s="114"/>
      <c r="G472" s="113"/>
      <c r="H472" s="114"/>
      <c r="I472" s="114"/>
      <c r="J472" s="114"/>
      <c r="K472" s="114"/>
      <c r="L472" s="114"/>
      <c r="M472" s="114"/>
      <c r="N472" s="114"/>
      <c r="O472" s="110"/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  <c r="Z472" s="110"/>
      <c r="AA472" s="110"/>
      <c r="AB472" s="112"/>
      <c r="AC472" s="5"/>
      <c r="AD472" s="5"/>
      <c r="AE472" s="5"/>
      <c r="AF472" s="5"/>
      <c r="AG472" s="5"/>
      <c r="AH472" s="5"/>
      <c r="AI472" s="5"/>
      <c r="AJ472" s="5"/>
      <c r="AK472" s="5"/>
      <c r="AL472" s="112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</row>
    <row r="473" ht="18.0" customHeight="1">
      <c r="A473" s="109"/>
      <c r="B473" s="113"/>
      <c r="C473" s="114"/>
      <c r="D473" s="114"/>
      <c r="E473" s="114"/>
      <c r="F473" s="114"/>
      <c r="G473" s="113"/>
      <c r="H473" s="114"/>
      <c r="I473" s="114"/>
      <c r="J473" s="114"/>
      <c r="K473" s="114"/>
      <c r="L473" s="114"/>
      <c r="M473" s="114"/>
      <c r="N473" s="114"/>
      <c r="O473" s="110"/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  <c r="Z473" s="110"/>
      <c r="AA473" s="110"/>
      <c r="AB473" s="112"/>
      <c r="AC473" s="5"/>
      <c r="AD473" s="5"/>
      <c r="AE473" s="5"/>
      <c r="AF473" s="5"/>
      <c r="AG473" s="5"/>
      <c r="AH473" s="5"/>
      <c r="AI473" s="5"/>
      <c r="AJ473" s="5"/>
      <c r="AK473" s="5"/>
      <c r="AL473" s="112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</row>
    <row r="474" ht="18.0" customHeight="1">
      <c r="A474" s="109"/>
      <c r="B474" s="113"/>
      <c r="C474" s="114"/>
      <c r="D474" s="114"/>
      <c r="E474" s="114"/>
      <c r="F474" s="114"/>
      <c r="G474" s="113"/>
      <c r="H474" s="114"/>
      <c r="I474" s="114"/>
      <c r="J474" s="114"/>
      <c r="K474" s="114"/>
      <c r="L474" s="114"/>
      <c r="M474" s="114"/>
      <c r="N474" s="114"/>
      <c r="O474" s="110"/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  <c r="Z474" s="110"/>
      <c r="AA474" s="110"/>
      <c r="AB474" s="112"/>
      <c r="AC474" s="5"/>
      <c r="AD474" s="5"/>
      <c r="AE474" s="5"/>
      <c r="AF474" s="5"/>
      <c r="AG474" s="5"/>
      <c r="AH474" s="5"/>
      <c r="AI474" s="5"/>
      <c r="AJ474" s="5"/>
      <c r="AK474" s="5"/>
      <c r="AL474" s="112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</row>
    <row r="475" ht="18.0" customHeight="1">
      <c r="A475" s="109"/>
      <c r="B475" s="113"/>
      <c r="C475" s="114"/>
      <c r="D475" s="114"/>
      <c r="E475" s="114"/>
      <c r="F475" s="114"/>
      <c r="G475" s="113"/>
      <c r="H475" s="114"/>
      <c r="I475" s="114"/>
      <c r="J475" s="114"/>
      <c r="K475" s="114"/>
      <c r="L475" s="114"/>
      <c r="M475" s="114"/>
      <c r="N475" s="114"/>
      <c r="O475" s="110"/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  <c r="Z475" s="110"/>
      <c r="AA475" s="110"/>
      <c r="AB475" s="112"/>
      <c r="AC475" s="5"/>
      <c r="AD475" s="5"/>
      <c r="AE475" s="5"/>
      <c r="AF475" s="5"/>
      <c r="AG475" s="5"/>
      <c r="AH475" s="5"/>
      <c r="AI475" s="5"/>
      <c r="AJ475" s="5"/>
      <c r="AK475" s="5"/>
      <c r="AL475" s="112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</row>
    <row r="476" ht="18.0" customHeight="1">
      <c r="A476" s="109"/>
      <c r="B476" s="113"/>
      <c r="C476" s="114"/>
      <c r="D476" s="114"/>
      <c r="E476" s="114"/>
      <c r="F476" s="114"/>
      <c r="G476" s="113"/>
      <c r="H476" s="114"/>
      <c r="I476" s="114"/>
      <c r="J476" s="114"/>
      <c r="K476" s="114"/>
      <c r="L476" s="114"/>
      <c r="M476" s="114"/>
      <c r="N476" s="114"/>
      <c r="O476" s="110"/>
      <c r="P476" s="110"/>
      <c r="Q476" s="110"/>
      <c r="R476" s="110"/>
      <c r="S476" s="110"/>
      <c r="T476" s="110"/>
      <c r="U476" s="110"/>
      <c r="V476" s="110"/>
      <c r="W476" s="110"/>
      <c r="X476" s="110"/>
      <c r="Y476" s="110"/>
      <c r="Z476" s="110"/>
      <c r="AA476" s="110"/>
      <c r="AB476" s="112"/>
      <c r="AC476" s="5"/>
      <c r="AD476" s="5"/>
      <c r="AE476" s="5"/>
      <c r="AF476" s="5"/>
      <c r="AG476" s="5"/>
      <c r="AH476" s="5"/>
      <c r="AI476" s="5"/>
      <c r="AJ476" s="5"/>
      <c r="AK476" s="5"/>
      <c r="AL476" s="112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</row>
    <row r="477" ht="18.0" customHeight="1">
      <c r="A477" s="109"/>
      <c r="B477" s="113"/>
      <c r="C477" s="114"/>
      <c r="D477" s="114"/>
      <c r="E477" s="114"/>
      <c r="F477" s="114"/>
      <c r="G477" s="113"/>
      <c r="H477" s="114"/>
      <c r="I477" s="114"/>
      <c r="J477" s="114"/>
      <c r="K477" s="114"/>
      <c r="L477" s="114"/>
      <c r="M477" s="114"/>
      <c r="N477" s="114"/>
      <c r="O477" s="110"/>
      <c r="P477" s="110"/>
      <c r="Q477" s="110"/>
      <c r="R477" s="110"/>
      <c r="S477" s="110"/>
      <c r="T477" s="110"/>
      <c r="U477" s="110"/>
      <c r="V477" s="110"/>
      <c r="W477" s="110"/>
      <c r="X477" s="110"/>
      <c r="Y477" s="110"/>
      <c r="Z477" s="110"/>
      <c r="AA477" s="110"/>
      <c r="AB477" s="112"/>
      <c r="AC477" s="5"/>
      <c r="AD477" s="5"/>
      <c r="AE477" s="5"/>
      <c r="AF477" s="5"/>
      <c r="AG477" s="5"/>
      <c r="AH477" s="5"/>
      <c r="AI477" s="5"/>
      <c r="AJ477" s="5"/>
      <c r="AK477" s="5"/>
      <c r="AL477" s="112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</row>
    <row r="478" ht="18.0" customHeight="1">
      <c r="A478" s="109"/>
      <c r="B478" s="113"/>
      <c r="C478" s="114"/>
      <c r="D478" s="114"/>
      <c r="E478" s="114"/>
      <c r="F478" s="114"/>
      <c r="G478" s="113"/>
      <c r="H478" s="114"/>
      <c r="I478" s="114"/>
      <c r="J478" s="114"/>
      <c r="K478" s="114"/>
      <c r="L478" s="114"/>
      <c r="M478" s="114"/>
      <c r="N478" s="114"/>
      <c r="O478" s="110"/>
      <c r="P478" s="110"/>
      <c r="Q478" s="110"/>
      <c r="R478" s="110"/>
      <c r="S478" s="110"/>
      <c r="T478" s="110"/>
      <c r="U478" s="110"/>
      <c r="V478" s="110"/>
      <c r="W478" s="110"/>
      <c r="X478" s="110"/>
      <c r="Y478" s="110"/>
      <c r="Z478" s="110"/>
      <c r="AA478" s="110"/>
      <c r="AB478" s="112"/>
      <c r="AC478" s="5"/>
      <c r="AD478" s="5"/>
      <c r="AE478" s="5"/>
      <c r="AF478" s="5"/>
      <c r="AG478" s="5"/>
      <c r="AH478" s="5"/>
      <c r="AI478" s="5"/>
      <c r="AJ478" s="5"/>
      <c r="AK478" s="5"/>
      <c r="AL478" s="112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</row>
    <row r="479" ht="18.0" customHeight="1">
      <c r="A479" s="109"/>
      <c r="B479" s="113"/>
      <c r="C479" s="114"/>
      <c r="D479" s="114"/>
      <c r="E479" s="114"/>
      <c r="F479" s="114"/>
      <c r="G479" s="113"/>
      <c r="H479" s="114"/>
      <c r="I479" s="114"/>
      <c r="J479" s="114"/>
      <c r="K479" s="114"/>
      <c r="L479" s="114"/>
      <c r="M479" s="114"/>
      <c r="N479" s="114"/>
      <c r="O479" s="110"/>
      <c r="P479" s="110"/>
      <c r="Q479" s="110"/>
      <c r="R479" s="110"/>
      <c r="S479" s="110"/>
      <c r="T479" s="110"/>
      <c r="U479" s="110"/>
      <c r="V479" s="110"/>
      <c r="W479" s="110"/>
      <c r="X479" s="110"/>
      <c r="Y479" s="110"/>
      <c r="Z479" s="110"/>
      <c r="AA479" s="110"/>
      <c r="AB479" s="112"/>
      <c r="AC479" s="5"/>
      <c r="AD479" s="5"/>
      <c r="AE479" s="5"/>
      <c r="AF479" s="5"/>
      <c r="AG479" s="5"/>
      <c r="AH479" s="5"/>
      <c r="AI479" s="5"/>
      <c r="AJ479" s="5"/>
      <c r="AK479" s="5"/>
      <c r="AL479" s="112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</row>
    <row r="480" ht="18.0" customHeight="1">
      <c r="A480" s="109"/>
      <c r="B480" s="113"/>
      <c r="C480" s="114"/>
      <c r="D480" s="114"/>
      <c r="E480" s="114"/>
      <c r="F480" s="114"/>
      <c r="G480" s="113"/>
      <c r="H480" s="114"/>
      <c r="I480" s="114"/>
      <c r="J480" s="114"/>
      <c r="K480" s="114"/>
      <c r="L480" s="114"/>
      <c r="M480" s="114"/>
      <c r="N480" s="114"/>
      <c r="O480" s="110"/>
      <c r="P480" s="110"/>
      <c r="Q480" s="110"/>
      <c r="R480" s="110"/>
      <c r="S480" s="110"/>
      <c r="T480" s="110"/>
      <c r="U480" s="110"/>
      <c r="V480" s="110"/>
      <c r="W480" s="110"/>
      <c r="X480" s="110"/>
      <c r="Y480" s="110"/>
      <c r="Z480" s="110"/>
      <c r="AA480" s="110"/>
      <c r="AB480" s="112"/>
      <c r="AC480" s="5"/>
      <c r="AD480" s="5"/>
      <c r="AE480" s="5"/>
      <c r="AF480" s="5"/>
      <c r="AG480" s="5"/>
      <c r="AH480" s="5"/>
      <c r="AI480" s="5"/>
      <c r="AJ480" s="5"/>
      <c r="AK480" s="5"/>
      <c r="AL480" s="112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</row>
    <row r="481" ht="18.0" customHeight="1">
      <c r="A481" s="109"/>
      <c r="B481" s="113"/>
      <c r="C481" s="114"/>
      <c r="D481" s="114"/>
      <c r="E481" s="114"/>
      <c r="F481" s="114"/>
      <c r="G481" s="113"/>
      <c r="H481" s="114"/>
      <c r="I481" s="114"/>
      <c r="J481" s="114"/>
      <c r="K481" s="114"/>
      <c r="L481" s="114"/>
      <c r="M481" s="114"/>
      <c r="N481" s="114"/>
      <c r="O481" s="110"/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  <c r="Z481" s="110"/>
      <c r="AA481" s="110"/>
      <c r="AB481" s="112"/>
      <c r="AC481" s="5"/>
      <c r="AD481" s="5"/>
      <c r="AE481" s="5"/>
      <c r="AF481" s="5"/>
      <c r="AG481" s="5"/>
      <c r="AH481" s="5"/>
      <c r="AI481" s="5"/>
      <c r="AJ481" s="5"/>
      <c r="AK481" s="5"/>
      <c r="AL481" s="112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</row>
    <row r="482" ht="18.0" customHeight="1">
      <c r="A482" s="109"/>
      <c r="B482" s="113"/>
      <c r="C482" s="114"/>
      <c r="D482" s="114"/>
      <c r="E482" s="114"/>
      <c r="F482" s="114"/>
      <c r="G482" s="113"/>
      <c r="H482" s="114"/>
      <c r="I482" s="114"/>
      <c r="J482" s="114"/>
      <c r="K482" s="114"/>
      <c r="L482" s="114"/>
      <c r="M482" s="114"/>
      <c r="N482" s="114"/>
      <c r="O482" s="110"/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  <c r="Z482" s="110"/>
      <c r="AA482" s="110"/>
      <c r="AB482" s="112"/>
      <c r="AC482" s="5"/>
      <c r="AD482" s="5"/>
      <c r="AE482" s="5"/>
      <c r="AF482" s="5"/>
      <c r="AG482" s="5"/>
      <c r="AH482" s="5"/>
      <c r="AI482" s="5"/>
      <c r="AJ482" s="5"/>
      <c r="AK482" s="5"/>
      <c r="AL482" s="112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</row>
    <row r="483" ht="18.0" customHeight="1">
      <c r="A483" s="109"/>
      <c r="B483" s="113"/>
      <c r="C483" s="114"/>
      <c r="D483" s="114"/>
      <c r="E483" s="114"/>
      <c r="F483" s="114"/>
      <c r="G483" s="113"/>
      <c r="H483" s="114"/>
      <c r="I483" s="114"/>
      <c r="J483" s="114"/>
      <c r="K483" s="114"/>
      <c r="L483" s="114"/>
      <c r="M483" s="114"/>
      <c r="N483" s="114"/>
      <c r="O483" s="110"/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  <c r="Z483" s="110"/>
      <c r="AA483" s="110"/>
      <c r="AB483" s="112"/>
      <c r="AC483" s="5"/>
      <c r="AD483" s="5"/>
      <c r="AE483" s="5"/>
      <c r="AF483" s="5"/>
      <c r="AG483" s="5"/>
      <c r="AH483" s="5"/>
      <c r="AI483" s="5"/>
      <c r="AJ483" s="5"/>
      <c r="AK483" s="5"/>
      <c r="AL483" s="112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</row>
    <row r="484" ht="18.0" customHeight="1">
      <c r="A484" s="109"/>
      <c r="B484" s="113"/>
      <c r="C484" s="114"/>
      <c r="D484" s="114"/>
      <c r="E484" s="114"/>
      <c r="F484" s="114"/>
      <c r="G484" s="113"/>
      <c r="H484" s="114"/>
      <c r="I484" s="114"/>
      <c r="J484" s="114"/>
      <c r="K484" s="114"/>
      <c r="L484" s="114"/>
      <c r="M484" s="114"/>
      <c r="N484" s="114"/>
      <c r="O484" s="110"/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  <c r="Z484" s="110"/>
      <c r="AA484" s="110"/>
      <c r="AB484" s="112"/>
      <c r="AC484" s="5"/>
      <c r="AD484" s="5"/>
      <c r="AE484" s="5"/>
      <c r="AF484" s="5"/>
      <c r="AG484" s="5"/>
      <c r="AH484" s="5"/>
      <c r="AI484" s="5"/>
      <c r="AJ484" s="5"/>
      <c r="AK484" s="5"/>
      <c r="AL484" s="112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</row>
    <row r="485" ht="18.0" customHeight="1">
      <c r="A485" s="109"/>
      <c r="B485" s="113"/>
      <c r="C485" s="114"/>
      <c r="D485" s="114"/>
      <c r="E485" s="114"/>
      <c r="F485" s="114"/>
      <c r="G485" s="113"/>
      <c r="H485" s="114"/>
      <c r="I485" s="114"/>
      <c r="J485" s="114"/>
      <c r="K485" s="114"/>
      <c r="L485" s="114"/>
      <c r="M485" s="114"/>
      <c r="N485" s="114"/>
      <c r="O485" s="110"/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  <c r="AA485" s="110"/>
      <c r="AB485" s="112"/>
      <c r="AC485" s="5"/>
      <c r="AD485" s="5"/>
      <c r="AE485" s="5"/>
      <c r="AF485" s="5"/>
      <c r="AG485" s="5"/>
      <c r="AH485" s="5"/>
      <c r="AI485" s="5"/>
      <c r="AJ485" s="5"/>
      <c r="AK485" s="5"/>
      <c r="AL485" s="112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</row>
    <row r="486" ht="18.0" customHeight="1">
      <c r="A486" s="109"/>
      <c r="B486" s="113"/>
      <c r="C486" s="114"/>
      <c r="D486" s="114"/>
      <c r="E486" s="114"/>
      <c r="F486" s="114"/>
      <c r="G486" s="113"/>
      <c r="H486" s="114"/>
      <c r="I486" s="114"/>
      <c r="J486" s="114"/>
      <c r="K486" s="114"/>
      <c r="L486" s="114"/>
      <c r="M486" s="114"/>
      <c r="N486" s="114"/>
      <c r="O486" s="110"/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  <c r="Z486" s="110"/>
      <c r="AA486" s="110"/>
      <c r="AB486" s="112"/>
      <c r="AC486" s="5"/>
      <c r="AD486" s="5"/>
      <c r="AE486" s="5"/>
      <c r="AF486" s="5"/>
      <c r="AG486" s="5"/>
      <c r="AH486" s="5"/>
      <c r="AI486" s="5"/>
      <c r="AJ486" s="5"/>
      <c r="AK486" s="5"/>
      <c r="AL486" s="112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</row>
    <row r="487" ht="18.0" customHeight="1">
      <c r="A487" s="109"/>
      <c r="B487" s="113"/>
      <c r="C487" s="114"/>
      <c r="D487" s="114"/>
      <c r="E487" s="114"/>
      <c r="F487" s="114"/>
      <c r="G487" s="113"/>
      <c r="H487" s="114"/>
      <c r="I487" s="114"/>
      <c r="J487" s="114"/>
      <c r="K487" s="114"/>
      <c r="L487" s="114"/>
      <c r="M487" s="114"/>
      <c r="N487" s="114"/>
      <c r="O487" s="110"/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  <c r="Z487" s="110"/>
      <c r="AA487" s="110"/>
      <c r="AB487" s="112"/>
      <c r="AC487" s="5"/>
      <c r="AD487" s="5"/>
      <c r="AE487" s="5"/>
      <c r="AF487" s="5"/>
      <c r="AG487" s="5"/>
      <c r="AH487" s="5"/>
      <c r="AI487" s="5"/>
      <c r="AJ487" s="5"/>
      <c r="AK487" s="5"/>
      <c r="AL487" s="112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</row>
    <row r="488" ht="18.0" customHeight="1">
      <c r="A488" s="109"/>
      <c r="B488" s="113"/>
      <c r="C488" s="114"/>
      <c r="D488" s="114"/>
      <c r="E488" s="114"/>
      <c r="F488" s="114"/>
      <c r="G488" s="113"/>
      <c r="H488" s="114"/>
      <c r="I488" s="114"/>
      <c r="J488" s="114"/>
      <c r="K488" s="114"/>
      <c r="L488" s="114"/>
      <c r="M488" s="114"/>
      <c r="N488" s="114"/>
      <c r="O488" s="110"/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  <c r="Z488" s="110"/>
      <c r="AA488" s="110"/>
      <c r="AB488" s="112"/>
      <c r="AC488" s="5"/>
      <c r="AD488" s="5"/>
      <c r="AE488" s="5"/>
      <c r="AF488" s="5"/>
      <c r="AG488" s="5"/>
      <c r="AH488" s="5"/>
      <c r="AI488" s="5"/>
      <c r="AJ488" s="5"/>
      <c r="AK488" s="5"/>
      <c r="AL488" s="112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</row>
    <row r="489" ht="18.0" customHeight="1">
      <c r="A489" s="109"/>
      <c r="B489" s="113"/>
      <c r="C489" s="114"/>
      <c r="D489" s="114"/>
      <c r="E489" s="114"/>
      <c r="F489" s="114"/>
      <c r="G489" s="113"/>
      <c r="H489" s="114"/>
      <c r="I489" s="114"/>
      <c r="J489" s="114"/>
      <c r="K489" s="114"/>
      <c r="L489" s="114"/>
      <c r="M489" s="114"/>
      <c r="N489" s="114"/>
      <c r="O489" s="110"/>
      <c r="P489" s="110"/>
      <c r="Q489" s="110"/>
      <c r="R489" s="110"/>
      <c r="S489" s="110"/>
      <c r="T489" s="110"/>
      <c r="U489" s="110"/>
      <c r="V489" s="110"/>
      <c r="W489" s="110"/>
      <c r="X489" s="110"/>
      <c r="Y489" s="110"/>
      <c r="Z489" s="110"/>
      <c r="AA489" s="110"/>
      <c r="AB489" s="112"/>
      <c r="AC489" s="5"/>
      <c r="AD489" s="5"/>
      <c r="AE489" s="5"/>
      <c r="AF489" s="5"/>
      <c r="AG489" s="5"/>
      <c r="AH489" s="5"/>
      <c r="AI489" s="5"/>
      <c r="AJ489" s="5"/>
      <c r="AK489" s="5"/>
      <c r="AL489" s="112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</row>
    <row r="490" ht="18.0" customHeight="1">
      <c r="A490" s="109"/>
      <c r="B490" s="113"/>
      <c r="C490" s="114"/>
      <c r="D490" s="114"/>
      <c r="E490" s="114"/>
      <c r="F490" s="114"/>
      <c r="G490" s="113"/>
      <c r="H490" s="114"/>
      <c r="I490" s="114"/>
      <c r="J490" s="114"/>
      <c r="K490" s="114"/>
      <c r="L490" s="114"/>
      <c r="M490" s="114"/>
      <c r="N490" s="114"/>
      <c r="O490" s="110"/>
      <c r="P490" s="110"/>
      <c r="Q490" s="110"/>
      <c r="R490" s="110"/>
      <c r="S490" s="110"/>
      <c r="T490" s="110"/>
      <c r="U490" s="110"/>
      <c r="V490" s="110"/>
      <c r="W490" s="110"/>
      <c r="X490" s="110"/>
      <c r="Y490" s="110"/>
      <c r="Z490" s="110"/>
      <c r="AA490" s="110"/>
      <c r="AB490" s="112"/>
      <c r="AC490" s="5"/>
      <c r="AD490" s="5"/>
      <c r="AE490" s="5"/>
      <c r="AF490" s="5"/>
      <c r="AG490" s="5"/>
      <c r="AH490" s="5"/>
      <c r="AI490" s="5"/>
      <c r="AJ490" s="5"/>
      <c r="AK490" s="5"/>
      <c r="AL490" s="112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</row>
    <row r="491" ht="18.0" customHeight="1">
      <c r="A491" s="109"/>
      <c r="B491" s="113"/>
      <c r="C491" s="114"/>
      <c r="D491" s="114"/>
      <c r="E491" s="114"/>
      <c r="F491" s="114"/>
      <c r="G491" s="113"/>
      <c r="H491" s="114"/>
      <c r="I491" s="114"/>
      <c r="J491" s="114"/>
      <c r="K491" s="114"/>
      <c r="L491" s="114"/>
      <c r="M491" s="114"/>
      <c r="N491" s="114"/>
      <c r="O491" s="110"/>
      <c r="P491" s="110"/>
      <c r="Q491" s="110"/>
      <c r="R491" s="110"/>
      <c r="S491" s="110"/>
      <c r="T491" s="110"/>
      <c r="U491" s="110"/>
      <c r="V491" s="110"/>
      <c r="W491" s="110"/>
      <c r="X491" s="110"/>
      <c r="Y491" s="110"/>
      <c r="Z491" s="110"/>
      <c r="AA491" s="110"/>
      <c r="AB491" s="112"/>
      <c r="AC491" s="5"/>
      <c r="AD491" s="5"/>
      <c r="AE491" s="5"/>
      <c r="AF491" s="5"/>
      <c r="AG491" s="5"/>
      <c r="AH491" s="5"/>
      <c r="AI491" s="5"/>
      <c r="AJ491" s="5"/>
      <c r="AK491" s="5"/>
      <c r="AL491" s="112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</row>
    <row r="492" ht="18.0" customHeight="1">
      <c r="A492" s="109"/>
      <c r="B492" s="113"/>
      <c r="C492" s="114"/>
      <c r="D492" s="114"/>
      <c r="E492" s="114"/>
      <c r="F492" s="114"/>
      <c r="G492" s="113"/>
      <c r="H492" s="114"/>
      <c r="I492" s="114"/>
      <c r="J492" s="114"/>
      <c r="K492" s="114"/>
      <c r="L492" s="114"/>
      <c r="M492" s="114"/>
      <c r="N492" s="114"/>
      <c r="O492" s="110"/>
      <c r="P492" s="110"/>
      <c r="Q492" s="110"/>
      <c r="R492" s="110"/>
      <c r="S492" s="110"/>
      <c r="T492" s="110"/>
      <c r="U492" s="110"/>
      <c r="V492" s="110"/>
      <c r="W492" s="110"/>
      <c r="X492" s="110"/>
      <c r="Y492" s="110"/>
      <c r="Z492" s="110"/>
      <c r="AA492" s="110"/>
      <c r="AB492" s="112"/>
      <c r="AC492" s="5"/>
      <c r="AD492" s="5"/>
      <c r="AE492" s="5"/>
      <c r="AF492" s="5"/>
      <c r="AG492" s="5"/>
      <c r="AH492" s="5"/>
      <c r="AI492" s="5"/>
      <c r="AJ492" s="5"/>
      <c r="AK492" s="5"/>
      <c r="AL492" s="112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</row>
    <row r="493" ht="18.0" customHeight="1">
      <c r="A493" s="109"/>
      <c r="B493" s="113"/>
      <c r="C493" s="114"/>
      <c r="D493" s="114"/>
      <c r="E493" s="114"/>
      <c r="F493" s="114"/>
      <c r="G493" s="113"/>
      <c r="H493" s="114"/>
      <c r="I493" s="114"/>
      <c r="J493" s="114"/>
      <c r="K493" s="114"/>
      <c r="L493" s="114"/>
      <c r="M493" s="114"/>
      <c r="N493" s="114"/>
      <c r="O493" s="110"/>
      <c r="P493" s="110"/>
      <c r="Q493" s="110"/>
      <c r="R493" s="110"/>
      <c r="S493" s="110"/>
      <c r="T493" s="110"/>
      <c r="U493" s="110"/>
      <c r="V493" s="110"/>
      <c r="W493" s="110"/>
      <c r="X493" s="110"/>
      <c r="Y493" s="110"/>
      <c r="Z493" s="110"/>
      <c r="AA493" s="110"/>
      <c r="AB493" s="112"/>
      <c r="AC493" s="5"/>
      <c r="AD493" s="5"/>
      <c r="AE493" s="5"/>
      <c r="AF493" s="5"/>
      <c r="AG493" s="5"/>
      <c r="AH493" s="5"/>
      <c r="AI493" s="5"/>
      <c r="AJ493" s="5"/>
      <c r="AK493" s="5"/>
      <c r="AL493" s="112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</row>
    <row r="494" ht="18.0" customHeight="1">
      <c r="A494" s="109"/>
      <c r="B494" s="113"/>
      <c r="C494" s="114"/>
      <c r="D494" s="114"/>
      <c r="E494" s="114"/>
      <c r="F494" s="114"/>
      <c r="G494" s="113"/>
      <c r="H494" s="114"/>
      <c r="I494" s="114"/>
      <c r="J494" s="114"/>
      <c r="K494" s="114"/>
      <c r="L494" s="114"/>
      <c r="M494" s="114"/>
      <c r="N494" s="114"/>
      <c r="O494" s="110"/>
      <c r="P494" s="110"/>
      <c r="Q494" s="110"/>
      <c r="R494" s="110"/>
      <c r="S494" s="110"/>
      <c r="T494" s="110"/>
      <c r="U494" s="110"/>
      <c r="V494" s="110"/>
      <c r="W494" s="110"/>
      <c r="X494" s="110"/>
      <c r="Y494" s="110"/>
      <c r="Z494" s="110"/>
      <c r="AA494" s="110"/>
      <c r="AB494" s="112"/>
      <c r="AC494" s="5"/>
      <c r="AD494" s="5"/>
      <c r="AE494" s="5"/>
      <c r="AF494" s="5"/>
      <c r="AG494" s="5"/>
      <c r="AH494" s="5"/>
      <c r="AI494" s="5"/>
      <c r="AJ494" s="5"/>
      <c r="AK494" s="5"/>
      <c r="AL494" s="112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</row>
    <row r="495" ht="18.0" customHeight="1">
      <c r="A495" s="109"/>
      <c r="B495" s="113"/>
      <c r="C495" s="114"/>
      <c r="D495" s="114"/>
      <c r="E495" s="114"/>
      <c r="F495" s="114"/>
      <c r="G495" s="113"/>
      <c r="H495" s="114"/>
      <c r="I495" s="114"/>
      <c r="J495" s="114"/>
      <c r="K495" s="114"/>
      <c r="L495" s="114"/>
      <c r="M495" s="114"/>
      <c r="N495" s="114"/>
      <c r="O495" s="110"/>
      <c r="P495" s="110"/>
      <c r="Q495" s="110"/>
      <c r="R495" s="110"/>
      <c r="S495" s="110"/>
      <c r="T495" s="110"/>
      <c r="U495" s="110"/>
      <c r="V495" s="110"/>
      <c r="W495" s="110"/>
      <c r="X495" s="110"/>
      <c r="Y495" s="110"/>
      <c r="Z495" s="110"/>
      <c r="AA495" s="110"/>
      <c r="AB495" s="112"/>
      <c r="AC495" s="5"/>
      <c r="AD495" s="5"/>
      <c r="AE495" s="5"/>
      <c r="AF495" s="5"/>
      <c r="AG495" s="5"/>
      <c r="AH495" s="5"/>
      <c r="AI495" s="5"/>
      <c r="AJ495" s="5"/>
      <c r="AK495" s="5"/>
      <c r="AL495" s="112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</row>
    <row r="496" ht="18.0" customHeight="1">
      <c r="A496" s="109"/>
      <c r="B496" s="113"/>
      <c r="C496" s="114"/>
      <c r="D496" s="114"/>
      <c r="E496" s="114"/>
      <c r="F496" s="114"/>
      <c r="G496" s="113"/>
      <c r="H496" s="114"/>
      <c r="I496" s="114"/>
      <c r="J496" s="114"/>
      <c r="K496" s="114"/>
      <c r="L496" s="114"/>
      <c r="M496" s="114"/>
      <c r="N496" s="114"/>
      <c r="O496" s="110"/>
      <c r="P496" s="110"/>
      <c r="Q496" s="110"/>
      <c r="R496" s="110"/>
      <c r="S496" s="110"/>
      <c r="T496" s="110"/>
      <c r="U496" s="110"/>
      <c r="V496" s="110"/>
      <c r="W496" s="110"/>
      <c r="X496" s="110"/>
      <c r="Y496" s="110"/>
      <c r="Z496" s="110"/>
      <c r="AA496" s="110"/>
      <c r="AB496" s="112"/>
      <c r="AC496" s="5"/>
      <c r="AD496" s="5"/>
      <c r="AE496" s="5"/>
      <c r="AF496" s="5"/>
      <c r="AG496" s="5"/>
      <c r="AH496" s="5"/>
      <c r="AI496" s="5"/>
      <c r="AJ496" s="5"/>
      <c r="AK496" s="5"/>
      <c r="AL496" s="112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</row>
    <row r="497" ht="18.0" customHeight="1">
      <c r="A497" s="109"/>
      <c r="B497" s="113"/>
      <c r="C497" s="114"/>
      <c r="D497" s="114"/>
      <c r="E497" s="114"/>
      <c r="F497" s="114"/>
      <c r="G497" s="113"/>
      <c r="H497" s="114"/>
      <c r="I497" s="114"/>
      <c r="J497" s="114"/>
      <c r="K497" s="114"/>
      <c r="L497" s="114"/>
      <c r="M497" s="114"/>
      <c r="N497" s="114"/>
      <c r="O497" s="110"/>
      <c r="P497" s="110"/>
      <c r="Q497" s="110"/>
      <c r="R497" s="110"/>
      <c r="S497" s="110"/>
      <c r="T497" s="110"/>
      <c r="U497" s="110"/>
      <c r="V497" s="110"/>
      <c r="W497" s="110"/>
      <c r="X497" s="110"/>
      <c r="Y497" s="110"/>
      <c r="Z497" s="110"/>
      <c r="AA497" s="110"/>
      <c r="AB497" s="112"/>
      <c r="AC497" s="5"/>
      <c r="AD497" s="5"/>
      <c r="AE497" s="5"/>
      <c r="AF497" s="5"/>
      <c r="AG497" s="5"/>
      <c r="AH497" s="5"/>
      <c r="AI497" s="5"/>
      <c r="AJ497" s="5"/>
      <c r="AK497" s="5"/>
      <c r="AL497" s="112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</row>
    <row r="498" ht="18.0" customHeight="1">
      <c r="A498" s="109"/>
      <c r="B498" s="113"/>
      <c r="C498" s="114"/>
      <c r="D498" s="114"/>
      <c r="E498" s="114"/>
      <c r="F498" s="114"/>
      <c r="G498" s="113"/>
      <c r="H498" s="114"/>
      <c r="I498" s="114"/>
      <c r="J498" s="114"/>
      <c r="K498" s="114"/>
      <c r="L498" s="114"/>
      <c r="M498" s="114"/>
      <c r="N498" s="114"/>
      <c r="O498" s="110"/>
      <c r="P498" s="110"/>
      <c r="Q498" s="110"/>
      <c r="R498" s="110"/>
      <c r="S498" s="110"/>
      <c r="T498" s="110"/>
      <c r="U498" s="110"/>
      <c r="V498" s="110"/>
      <c r="W498" s="110"/>
      <c r="X498" s="110"/>
      <c r="Y498" s="110"/>
      <c r="Z498" s="110"/>
      <c r="AA498" s="110"/>
      <c r="AB498" s="112"/>
      <c r="AC498" s="5"/>
      <c r="AD498" s="5"/>
      <c r="AE498" s="5"/>
      <c r="AF498" s="5"/>
      <c r="AG498" s="5"/>
      <c r="AH498" s="5"/>
      <c r="AI498" s="5"/>
      <c r="AJ498" s="5"/>
      <c r="AK498" s="5"/>
      <c r="AL498" s="112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</row>
    <row r="499" ht="18.0" customHeight="1">
      <c r="A499" s="109"/>
      <c r="B499" s="113"/>
      <c r="C499" s="114"/>
      <c r="D499" s="114"/>
      <c r="E499" s="114"/>
      <c r="F499" s="114"/>
      <c r="G499" s="113"/>
      <c r="H499" s="114"/>
      <c r="I499" s="114"/>
      <c r="J499" s="114"/>
      <c r="K499" s="114"/>
      <c r="L499" s="114"/>
      <c r="M499" s="114"/>
      <c r="N499" s="114"/>
      <c r="O499" s="110"/>
      <c r="P499" s="110"/>
      <c r="Q499" s="110"/>
      <c r="R499" s="110"/>
      <c r="S499" s="110"/>
      <c r="T499" s="110"/>
      <c r="U499" s="110"/>
      <c r="V499" s="110"/>
      <c r="W499" s="110"/>
      <c r="X499" s="110"/>
      <c r="Y499" s="110"/>
      <c r="Z499" s="110"/>
      <c r="AA499" s="110"/>
      <c r="AB499" s="112"/>
      <c r="AC499" s="5"/>
      <c r="AD499" s="5"/>
      <c r="AE499" s="5"/>
      <c r="AF499" s="5"/>
      <c r="AG499" s="5"/>
      <c r="AH499" s="5"/>
      <c r="AI499" s="5"/>
      <c r="AJ499" s="5"/>
      <c r="AK499" s="5"/>
      <c r="AL499" s="112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</row>
    <row r="500" ht="18.0" customHeight="1">
      <c r="A500" s="109"/>
      <c r="B500" s="113"/>
      <c r="C500" s="114"/>
      <c r="D500" s="114"/>
      <c r="E500" s="114"/>
      <c r="F500" s="114"/>
      <c r="G500" s="113"/>
      <c r="H500" s="114"/>
      <c r="I500" s="114"/>
      <c r="J500" s="114"/>
      <c r="K500" s="114"/>
      <c r="L500" s="114"/>
      <c r="M500" s="114"/>
      <c r="N500" s="114"/>
      <c r="O500" s="110"/>
      <c r="P500" s="110"/>
      <c r="Q500" s="110"/>
      <c r="R500" s="110"/>
      <c r="S500" s="110"/>
      <c r="T500" s="110"/>
      <c r="U500" s="110"/>
      <c r="V500" s="110"/>
      <c r="W500" s="110"/>
      <c r="X500" s="110"/>
      <c r="Y500" s="110"/>
      <c r="Z500" s="110"/>
      <c r="AA500" s="110"/>
      <c r="AB500" s="112"/>
      <c r="AC500" s="5"/>
      <c r="AD500" s="5"/>
      <c r="AE500" s="5"/>
      <c r="AF500" s="5"/>
      <c r="AG500" s="5"/>
      <c r="AH500" s="5"/>
      <c r="AI500" s="5"/>
      <c r="AJ500" s="5"/>
      <c r="AK500" s="5"/>
      <c r="AL500" s="112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</row>
    <row r="501" ht="18.0" customHeight="1">
      <c r="A501" s="109"/>
      <c r="B501" s="113"/>
      <c r="C501" s="114"/>
      <c r="D501" s="114"/>
      <c r="E501" s="114"/>
      <c r="F501" s="114"/>
      <c r="G501" s="113"/>
      <c r="H501" s="114"/>
      <c r="I501" s="114"/>
      <c r="J501" s="114"/>
      <c r="K501" s="114"/>
      <c r="L501" s="114"/>
      <c r="M501" s="114"/>
      <c r="N501" s="114"/>
      <c r="O501" s="110"/>
      <c r="P501" s="110"/>
      <c r="Q501" s="110"/>
      <c r="R501" s="110"/>
      <c r="S501" s="110"/>
      <c r="T501" s="110"/>
      <c r="U501" s="110"/>
      <c r="V501" s="110"/>
      <c r="W501" s="110"/>
      <c r="X501" s="110"/>
      <c r="Y501" s="110"/>
      <c r="Z501" s="110"/>
      <c r="AA501" s="110"/>
      <c r="AB501" s="112"/>
      <c r="AC501" s="5"/>
      <c r="AD501" s="5"/>
      <c r="AE501" s="5"/>
      <c r="AF501" s="5"/>
      <c r="AG501" s="5"/>
      <c r="AH501" s="5"/>
      <c r="AI501" s="5"/>
      <c r="AJ501" s="5"/>
      <c r="AK501" s="5"/>
      <c r="AL501" s="112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</row>
    <row r="502" ht="18.0" customHeight="1">
      <c r="A502" s="109"/>
      <c r="B502" s="113"/>
      <c r="C502" s="114"/>
      <c r="D502" s="114"/>
      <c r="E502" s="114"/>
      <c r="F502" s="114"/>
      <c r="G502" s="113"/>
      <c r="H502" s="114"/>
      <c r="I502" s="114"/>
      <c r="J502" s="114"/>
      <c r="K502" s="114"/>
      <c r="L502" s="114"/>
      <c r="M502" s="114"/>
      <c r="N502" s="114"/>
      <c r="O502" s="110"/>
      <c r="P502" s="110"/>
      <c r="Q502" s="110"/>
      <c r="R502" s="110"/>
      <c r="S502" s="110"/>
      <c r="T502" s="110"/>
      <c r="U502" s="110"/>
      <c r="V502" s="110"/>
      <c r="W502" s="110"/>
      <c r="X502" s="110"/>
      <c r="Y502" s="110"/>
      <c r="Z502" s="110"/>
      <c r="AA502" s="110"/>
      <c r="AB502" s="112"/>
      <c r="AC502" s="5"/>
      <c r="AD502" s="5"/>
      <c r="AE502" s="5"/>
      <c r="AF502" s="5"/>
      <c r="AG502" s="5"/>
      <c r="AH502" s="5"/>
      <c r="AI502" s="5"/>
      <c r="AJ502" s="5"/>
      <c r="AK502" s="5"/>
      <c r="AL502" s="112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</row>
    <row r="503" ht="18.0" customHeight="1">
      <c r="A503" s="109"/>
      <c r="B503" s="113"/>
      <c r="C503" s="114"/>
      <c r="D503" s="114"/>
      <c r="E503" s="114"/>
      <c r="F503" s="114"/>
      <c r="G503" s="113"/>
      <c r="H503" s="114"/>
      <c r="I503" s="114"/>
      <c r="J503" s="114"/>
      <c r="K503" s="114"/>
      <c r="L503" s="114"/>
      <c r="M503" s="114"/>
      <c r="N503" s="114"/>
      <c r="O503" s="110"/>
      <c r="P503" s="110"/>
      <c r="Q503" s="110"/>
      <c r="R503" s="110"/>
      <c r="S503" s="110"/>
      <c r="T503" s="110"/>
      <c r="U503" s="110"/>
      <c r="V503" s="110"/>
      <c r="W503" s="110"/>
      <c r="X503" s="110"/>
      <c r="Y503" s="110"/>
      <c r="Z503" s="110"/>
      <c r="AA503" s="110"/>
      <c r="AB503" s="112"/>
      <c r="AC503" s="5"/>
      <c r="AD503" s="5"/>
      <c r="AE503" s="5"/>
      <c r="AF503" s="5"/>
      <c r="AG503" s="5"/>
      <c r="AH503" s="5"/>
      <c r="AI503" s="5"/>
      <c r="AJ503" s="5"/>
      <c r="AK503" s="5"/>
      <c r="AL503" s="112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</row>
    <row r="504" ht="18.0" customHeight="1">
      <c r="A504" s="109"/>
      <c r="B504" s="113"/>
      <c r="C504" s="114"/>
      <c r="D504" s="114"/>
      <c r="E504" s="114"/>
      <c r="F504" s="114"/>
      <c r="G504" s="113"/>
      <c r="H504" s="114"/>
      <c r="I504" s="114"/>
      <c r="J504" s="114"/>
      <c r="K504" s="114"/>
      <c r="L504" s="114"/>
      <c r="M504" s="114"/>
      <c r="N504" s="114"/>
      <c r="O504" s="110"/>
      <c r="P504" s="110"/>
      <c r="Q504" s="110"/>
      <c r="R504" s="110"/>
      <c r="S504" s="110"/>
      <c r="T504" s="110"/>
      <c r="U504" s="110"/>
      <c r="V504" s="110"/>
      <c r="W504" s="110"/>
      <c r="X504" s="110"/>
      <c r="Y504" s="110"/>
      <c r="Z504" s="110"/>
      <c r="AA504" s="110"/>
      <c r="AB504" s="112"/>
      <c r="AC504" s="5"/>
      <c r="AD504" s="5"/>
      <c r="AE504" s="5"/>
      <c r="AF504" s="5"/>
      <c r="AG504" s="5"/>
      <c r="AH504" s="5"/>
      <c r="AI504" s="5"/>
      <c r="AJ504" s="5"/>
      <c r="AK504" s="5"/>
      <c r="AL504" s="112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</row>
    <row r="505" ht="18.0" customHeight="1">
      <c r="A505" s="109"/>
      <c r="B505" s="113"/>
      <c r="C505" s="114"/>
      <c r="D505" s="114"/>
      <c r="E505" s="114"/>
      <c r="F505" s="114"/>
      <c r="G505" s="113"/>
      <c r="H505" s="114"/>
      <c r="I505" s="114"/>
      <c r="J505" s="114"/>
      <c r="K505" s="114"/>
      <c r="L505" s="114"/>
      <c r="M505" s="114"/>
      <c r="N505" s="114"/>
      <c r="O505" s="110"/>
      <c r="P505" s="110"/>
      <c r="Q505" s="110"/>
      <c r="R505" s="110"/>
      <c r="S505" s="110"/>
      <c r="T505" s="110"/>
      <c r="U505" s="110"/>
      <c r="V505" s="110"/>
      <c r="W505" s="110"/>
      <c r="X505" s="110"/>
      <c r="Y505" s="110"/>
      <c r="Z505" s="110"/>
      <c r="AA505" s="110"/>
      <c r="AB505" s="112"/>
      <c r="AC505" s="5"/>
      <c r="AD505" s="5"/>
      <c r="AE505" s="5"/>
      <c r="AF505" s="5"/>
      <c r="AG505" s="5"/>
      <c r="AH505" s="5"/>
      <c r="AI505" s="5"/>
      <c r="AJ505" s="5"/>
      <c r="AK505" s="5"/>
      <c r="AL505" s="112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</row>
    <row r="506" ht="18.0" customHeight="1">
      <c r="A506" s="109"/>
      <c r="B506" s="113"/>
      <c r="C506" s="114"/>
      <c r="D506" s="114"/>
      <c r="E506" s="114"/>
      <c r="F506" s="114"/>
      <c r="G506" s="113"/>
      <c r="H506" s="114"/>
      <c r="I506" s="114"/>
      <c r="J506" s="114"/>
      <c r="K506" s="114"/>
      <c r="L506" s="114"/>
      <c r="M506" s="114"/>
      <c r="N506" s="114"/>
      <c r="O506" s="110"/>
      <c r="P506" s="110"/>
      <c r="Q506" s="110"/>
      <c r="R506" s="110"/>
      <c r="S506" s="110"/>
      <c r="T506" s="110"/>
      <c r="U506" s="110"/>
      <c r="V506" s="110"/>
      <c r="W506" s="110"/>
      <c r="X506" s="110"/>
      <c r="Y506" s="110"/>
      <c r="Z506" s="110"/>
      <c r="AA506" s="110"/>
      <c r="AB506" s="112"/>
      <c r="AC506" s="5"/>
      <c r="AD506" s="5"/>
      <c r="AE506" s="5"/>
      <c r="AF506" s="5"/>
      <c r="AG506" s="5"/>
      <c r="AH506" s="5"/>
      <c r="AI506" s="5"/>
      <c r="AJ506" s="5"/>
      <c r="AK506" s="5"/>
      <c r="AL506" s="112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</row>
    <row r="507" ht="18.0" customHeight="1">
      <c r="A507" s="109"/>
      <c r="B507" s="113"/>
      <c r="C507" s="114"/>
      <c r="D507" s="114"/>
      <c r="E507" s="114"/>
      <c r="F507" s="114"/>
      <c r="G507" s="113"/>
      <c r="H507" s="114"/>
      <c r="I507" s="114"/>
      <c r="J507" s="114"/>
      <c r="K507" s="114"/>
      <c r="L507" s="114"/>
      <c r="M507" s="114"/>
      <c r="N507" s="114"/>
      <c r="O507" s="110"/>
      <c r="P507" s="110"/>
      <c r="Q507" s="110"/>
      <c r="R507" s="110"/>
      <c r="S507" s="110"/>
      <c r="T507" s="110"/>
      <c r="U507" s="110"/>
      <c r="V507" s="110"/>
      <c r="W507" s="110"/>
      <c r="X507" s="110"/>
      <c r="Y507" s="110"/>
      <c r="Z507" s="110"/>
      <c r="AA507" s="110"/>
      <c r="AB507" s="112"/>
      <c r="AC507" s="5"/>
      <c r="AD507" s="5"/>
      <c r="AE507" s="5"/>
      <c r="AF507" s="5"/>
      <c r="AG507" s="5"/>
      <c r="AH507" s="5"/>
      <c r="AI507" s="5"/>
      <c r="AJ507" s="5"/>
      <c r="AK507" s="5"/>
      <c r="AL507" s="112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</row>
    <row r="508" ht="18.0" customHeight="1">
      <c r="A508" s="109"/>
      <c r="B508" s="113"/>
      <c r="C508" s="114"/>
      <c r="D508" s="114"/>
      <c r="E508" s="114"/>
      <c r="F508" s="114"/>
      <c r="G508" s="113"/>
      <c r="H508" s="114"/>
      <c r="I508" s="114"/>
      <c r="J508" s="114"/>
      <c r="K508" s="114"/>
      <c r="L508" s="114"/>
      <c r="M508" s="114"/>
      <c r="N508" s="114"/>
      <c r="O508" s="110"/>
      <c r="P508" s="110"/>
      <c r="Q508" s="110"/>
      <c r="R508" s="110"/>
      <c r="S508" s="110"/>
      <c r="T508" s="110"/>
      <c r="U508" s="110"/>
      <c r="V508" s="110"/>
      <c r="W508" s="110"/>
      <c r="X508" s="110"/>
      <c r="Y508" s="110"/>
      <c r="Z508" s="110"/>
      <c r="AA508" s="110"/>
      <c r="AB508" s="112"/>
      <c r="AC508" s="5"/>
      <c r="AD508" s="5"/>
      <c r="AE508" s="5"/>
      <c r="AF508" s="5"/>
      <c r="AG508" s="5"/>
      <c r="AH508" s="5"/>
      <c r="AI508" s="5"/>
      <c r="AJ508" s="5"/>
      <c r="AK508" s="5"/>
      <c r="AL508" s="112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</row>
    <row r="509" ht="18.0" customHeight="1">
      <c r="A509" s="109"/>
      <c r="B509" s="113"/>
      <c r="C509" s="114"/>
      <c r="D509" s="114"/>
      <c r="E509" s="114"/>
      <c r="F509" s="114"/>
      <c r="G509" s="113"/>
      <c r="H509" s="114"/>
      <c r="I509" s="114"/>
      <c r="J509" s="114"/>
      <c r="K509" s="114"/>
      <c r="L509" s="114"/>
      <c r="M509" s="114"/>
      <c r="N509" s="114"/>
      <c r="O509" s="110"/>
      <c r="P509" s="110"/>
      <c r="Q509" s="110"/>
      <c r="R509" s="110"/>
      <c r="S509" s="110"/>
      <c r="T509" s="110"/>
      <c r="U509" s="110"/>
      <c r="V509" s="110"/>
      <c r="W509" s="110"/>
      <c r="X509" s="110"/>
      <c r="Y509" s="110"/>
      <c r="Z509" s="110"/>
      <c r="AA509" s="110"/>
      <c r="AB509" s="112"/>
      <c r="AC509" s="5"/>
      <c r="AD509" s="5"/>
      <c r="AE509" s="5"/>
      <c r="AF509" s="5"/>
      <c r="AG509" s="5"/>
      <c r="AH509" s="5"/>
      <c r="AI509" s="5"/>
      <c r="AJ509" s="5"/>
      <c r="AK509" s="5"/>
      <c r="AL509" s="112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</row>
    <row r="510" ht="18.0" customHeight="1">
      <c r="A510" s="109"/>
      <c r="B510" s="113"/>
      <c r="C510" s="114"/>
      <c r="D510" s="114"/>
      <c r="E510" s="114"/>
      <c r="F510" s="114"/>
      <c r="G510" s="113"/>
      <c r="H510" s="114"/>
      <c r="I510" s="114"/>
      <c r="J510" s="114"/>
      <c r="K510" s="114"/>
      <c r="L510" s="114"/>
      <c r="M510" s="114"/>
      <c r="N510" s="114"/>
      <c r="O510" s="110"/>
      <c r="P510" s="110"/>
      <c r="Q510" s="110"/>
      <c r="R510" s="110"/>
      <c r="S510" s="110"/>
      <c r="T510" s="110"/>
      <c r="U510" s="110"/>
      <c r="V510" s="110"/>
      <c r="W510" s="110"/>
      <c r="X510" s="110"/>
      <c r="Y510" s="110"/>
      <c r="Z510" s="110"/>
      <c r="AA510" s="110"/>
      <c r="AB510" s="112"/>
      <c r="AC510" s="5"/>
      <c r="AD510" s="5"/>
      <c r="AE510" s="5"/>
      <c r="AF510" s="5"/>
      <c r="AG510" s="5"/>
      <c r="AH510" s="5"/>
      <c r="AI510" s="5"/>
      <c r="AJ510" s="5"/>
      <c r="AK510" s="5"/>
      <c r="AL510" s="112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</row>
    <row r="511" ht="18.0" customHeight="1">
      <c r="A511" s="109"/>
      <c r="B511" s="113"/>
      <c r="C511" s="114"/>
      <c r="D511" s="114"/>
      <c r="E511" s="114"/>
      <c r="F511" s="114"/>
      <c r="G511" s="113"/>
      <c r="H511" s="114"/>
      <c r="I511" s="114"/>
      <c r="J511" s="114"/>
      <c r="K511" s="114"/>
      <c r="L511" s="114"/>
      <c r="M511" s="114"/>
      <c r="N511" s="114"/>
      <c r="O511" s="110"/>
      <c r="P511" s="110"/>
      <c r="Q511" s="110"/>
      <c r="R511" s="110"/>
      <c r="S511" s="110"/>
      <c r="T511" s="110"/>
      <c r="U511" s="110"/>
      <c r="V511" s="110"/>
      <c r="W511" s="110"/>
      <c r="X511" s="110"/>
      <c r="Y511" s="110"/>
      <c r="Z511" s="110"/>
      <c r="AA511" s="110"/>
      <c r="AB511" s="112"/>
      <c r="AC511" s="5"/>
      <c r="AD511" s="5"/>
      <c r="AE511" s="5"/>
      <c r="AF511" s="5"/>
      <c r="AG511" s="5"/>
      <c r="AH511" s="5"/>
      <c r="AI511" s="5"/>
      <c r="AJ511" s="5"/>
      <c r="AK511" s="5"/>
      <c r="AL511" s="112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</row>
    <row r="512" ht="18.0" customHeight="1">
      <c r="A512" s="109"/>
      <c r="B512" s="113"/>
      <c r="C512" s="114"/>
      <c r="D512" s="114"/>
      <c r="E512" s="114"/>
      <c r="F512" s="114"/>
      <c r="G512" s="113"/>
      <c r="H512" s="114"/>
      <c r="I512" s="114"/>
      <c r="J512" s="114"/>
      <c r="K512" s="114"/>
      <c r="L512" s="114"/>
      <c r="M512" s="114"/>
      <c r="N512" s="114"/>
      <c r="O512" s="110"/>
      <c r="P512" s="110"/>
      <c r="Q512" s="110"/>
      <c r="R512" s="110"/>
      <c r="S512" s="110"/>
      <c r="T512" s="110"/>
      <c r="U512" s="110"/>
      <c r="V512" s="110"/>
      <c r="W512" s="110"/>
      <c r="X512" s="110"/>
      <c r="Y512" s="110"/>
      <c r="Z512" s="110"/>
      <c r="AA512" s="110"/>
      <c r="AB512" s="112"/>
      <c r="AC512" s="5"/>
      <c r="AD512" s="5"/>
      <c r="AE512" s="5"/>
      <c r="AF512" s="5"/>
      <c r="AG512" s="5"/>
      <c r="AH512" s="5"/>
      <c r="AI512" s="5"/>
      <c r="AJ512" s="5"/>
      <c r="AK512" s="5"/>
      <c r="AL512" s="112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</row>
    <row r="513" ht="18.0" customHeight="1">
      <c r="A513" s="109"/>
      <c r="B513" s="113"/>
      <c r="C513" s="114"/>
      <c r="D513" s="114"/>
      <c r="E513" s="114"/>
      <c r="F513" s="114"/>
      <c r="G513" s="113"/>
      <c r="H513" s="114"/>
      <c r="I513" s="114"/>
      <c r="J513" s="114"/>
      <c r="K513" s="114"/>
      <c r="L513" s="114"/>
      <c r="M513" s="114"/>
      <c r="N513" s="114"/>
      <c r="O513" s="110"/>
      <c r="P513" s="110"/>
      <c r="Q513" s="110"/>
      <c r="R513" s="110"/>
      <c r="S513" s="110"/>
      <c r="T513" s="110"/>
      <c r="U513" s="110"/>
      <c r="V513" s="110"/>
      <c r="W513" s="110"/>
      <c r="X513" s="110"/>
      <c r="Y513" s="110"/>
      <c r="Z513" s="110"/>
      <c r="AA513" s="110"/>
      <c r="AB513" s="112"/>
      <c r="AC513" s="5"/>
      <c r="AD513" s="5"/>
      <c r="AE513" s="5"/>
      <c r="AF513" s="5"/>
      <c r="AG513" s="5"/>
      <c r="AH513" s="5"/>
      <c r="AI513" s="5"/>
      <c r="AJ513" s="5"/>
      <c r="AK513" s="5"/>
      <c r="AL513" s="112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</row>
    <row r="514" ht="18.0" customHeight="1">
      <c r="A514" s="109"/>
      <c r="B514" s="113"/>
      <c r="C514" s="114"/>
      <c r="D514" s="114"/>
      <c r="E514" s="114"/>
      <c r="F514" s="114"/>
      <c r="G514" s="113"/>
      <c r="H514" s="114"/>
      <c r="I514" s="114"/>
      <c r="J514" s="114"/>
      <c r="K514" s="114"/>
      <c r="L514" s="114"/>
      <c r="M514" s="114"/>
      <c r="N514" s="114"/>
      <c r="O514" s="110"/>
      <c r="P514" s="110"/>
      <c r="Q514" s="110"/>
      <c r="R514" s="110"/>
      <c r="S514" s="110"/>
      <c r="T514" s="110"/>
      <c r="U514" s="110"/>
      <c r="V514" s="110"/>
      <c r="W514" s="110"/>
      <c r="X514" s="110"/>
      <c r="Y514" s="110"/>
      <c r="Z514" s="110"/>
      <c r="AA514" s="110"/>
      <c r="AB514" s="112"/>
      <c r="AC514" s="5"/>
      <c r="AD514" s="5"/>
      <c r="AE514" s="5"/>
      <c r="AF514" s="5"/>
      <c r="AG514" s="5"/>
      <c r="AH514" s="5"/>
      <c r="AI514" s="5"/>
      <c r="AJ514" s="5"/>
      <c r="AK514" s="5"/>
      <c r="AL514" s="112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</row>
    <row r="515" ht="18.0" customHeight="1">
      <c r="A515" s="109"/>
      <c r="B515" s="113"/>
      <c r="C515" s="114"/>
      <c r="D515" s="114"/>
      <c r="E515" s="114"/>
      <c r="F515" s="114"/>
      <c r="G515" s="113"/>
      <c r="H515" s="114"/>
      <c r="I515" s="114"/>
      <c r="J515" s="114"/>
      <c r="K515" s="114"/>
      <c r="L515" s="114"/>
      <c r="M515" s="114"/>
      <c r="N515" s="114"/>
      <c r="O515" s="110"/>
      <c r="P515" s="110"/>
      <c r="Q515" s="110"/>
      <c r="R515" s="110"/>
      <c r="S515" s="110"/>
      <c r="T515" s="110"/>
      <c r="U515" s="110"/>
      <c r="V515" s="110"/>
      <c r="W515" s="110"/>
      <c r="X515" s="110"/>
      <c r="Y515" s="110"/>
      <c r="Z515" s="110"/>
      <c r="AA515" s="110"/>
      <c r="AB515" s="112"/>
      <c r="AC515" s="5"/>
      <c r="AD515" s="5"/>
      <c r="AE515" s="5"/>
      <c r="AF515" s="5"/>
      <c r="AG515" s="5"/>
      <c r="AH515" s="5"/>
      <c r="AI515" s="5"/>
      <c r="AJ515" s="5"/>
      <c r="AK515" s="5"/>
      <c r="AL515" s="112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</row>
    <row r="516" ht="18.0" customHeight="1">
      <c r="A516" s="109"/>
      <c r="B516" s="113"/>
      <c r="C516" s="114"/>
      <c r="D516" s="114"/>
      <c r="E516" s="114"/>
      <c r="F516" s="114"/>
      <c r="G516" s="113"/>
      <c r="H516" s="114"/>
      <c r="I516" s="114"/>
      <c r="J516" s="114"/>
      <c r="K516" s="114"/>
      <c r="L516" s="114"/>
      <c r="M516" s="114"/>
      <c r="N516" s="114"/>
      <c r="O516" s="110"/>
      <c r="P516" s="110"/>
      <c r="Q516" s="110"/>
      <c r="R516" s="110"/>
      <c r="S516" s="110"/>
      <c r="T516" s="110"/>
      <c r="U516" s="110"/>
      <c r="V516" s="110"/>
      <c r="W516" s="110"/>
      <c r="X516" s="110"/>
      <c r="Y516" s="110"/>
      <c r="Z516" s="110"/>
      <c r="AA516" s="110"/>
      <c r="AB516" s="112"/>
      <c r="AC516" s="5"/>
      <c r="AD516" s="5"/>
      <c r="AE516" s="5"/>
      <c r="AF516" s="5"/>
      <c r="AG516" s="5"/>
      <c r="AH516" s="5"/>
      <c r="AI516" s="5"/>
      <c r="AJ516" s="5"/>
      <c r="AK516" s="5"/>
      <c r="AL516" s="112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</row>
    <row r="517" ht="18.0" customHeight="1">
      <c r="A517" s="109"/>
      <c r="B517" s="113"/>
      <c r="C517" s="114"/>
      <c r="D517" s="114"/>
      <c r="E517" s="114"/>
      <c r="F517" s="114"/>
      <c r="G517" s="113"/>
      <c r="H517" s="114"/>
      <c r="I517" s="114"/>
      <c r="J517" s="114"/>
      <c r="K517" s="114"/>
      <c r="L517" s="114"/>
      <c r="M517" s="114"/>
      <c r="N517" s="114"/>
      <c r="O517" s="110"/>
      <c r="P517" s="110"/>
      <c r="Q517" s="110"/>
      <c r="R517" s="110"/>
      <c r="S517" s="110"/>
      <c r="T517" s="110"/>
      <c r="U517" s="110"/>
      <c r="V517" s="110"/>
      <c r="W517" s="110"/>
      <c r="X517" s="110"/>
      <c r="Y517" s="110"/>
      <c r="Z517" s="110"/>
      <c r="AA517" s="110"/>
      <c r="AB517" s="112"/>
      <c r="AC517" s="5"/>
      <c r="AD517" s="5"/>
      <c r="AE517" s="5"/>
      <c r="AF517" s="5"/>
      <c r="AG517" s="5"/>
      <c r="AH517" s="5"/>
      <c r="AI517" s="5"/>
      <c r="AJ517" s="5"/>
      <c r="AK517" s="5"/>
      <c r="AL517" s="112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</row>
    <row r="518" ht="18.0" customHeight="1">
      <c r="A518" s="109"/>
      <c r="B518" s="113"/>
      <c r="C518" s="114"/>
      <c r="D518" s="114"/>
      <c r="E518" s="114"/>
      <c r="F518" s="114"/>
      <c r="G518" s="113"/>
      <c r="H518" s="114"/>
      <c r="I518" s="114"/>
      <c r="J518" s="114"/>
      <c r="K518" s="114"/>
      <c r="L518" s="114"/>
      <c r="M518" s="114"/>
      <c r="N518" s="114"/>
      <c r="O518" s="110"/>
      <c r="P518" s="110"/>
      <c r="Q518" s="110"/>
      <c r="R518" s="110"/>
      <c r="S518" s="110"/>
      <c r="T518" s="110"/>
      <c r="U518" s="110"/>
      <c r="V518" s="110"/>
      <c r="W518" s="110"/>
      <c r="X518" s="110"/>
      <c r="Y518" s="110"/>
      <c r="Z518" s="110"/>
      <c r="AA518" s="110"/>
      <c r="AB518" s="112"/>
      <c r="AC518" s="5"/>
      <c r="AD518" s="5"/>
      <c r="AE518" s="5"/>
      <c r="AF518" s="5"/>
      <c r="AG518" s="5"/>
      <c r="AH518" s="5"/>
      <c r="AI518" s="5"/>
      <c r="AJ518" s="5"/>
      <c r="AK518" s="5"/>
      <c r="AL518" s="112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</row>
    <row r="519" ht="18.0" customHeight="1">
      <c r="A519" s="109"/>
      <c r="B519" s="113"/>
      <c r="C519" s="114"/>
      <c r="D519" s="114"/>
      <c r="E519" s="114"/>
      <c r="F519" s="114"/>
      <c r="G519" s="113"/>
      <c r="H519" s="114"/>
      <c r="I519" s="114"/>
      <c r="J519" s="114"/>
      <c r="K519" s="114"/>
      <c r="L519" s="114"/>
      <c r="M519" s="114"/>
      <c r="N519" s="114"/>
      <c r="O519" s="110"/>
      <c r="P519" s="110"/>
      <c r="Q519" s="110"/>
      <c r="R519" s="110"/>
      <c r="S519" s="110"/>
      <c r="T519" s="110"/>
      <c r="U519" s="110"/>
      <c r="V519" s="110"/>
      <c r="W519" s="110"/>
      <c r="X519" s="110"/>
      <c r="Y519" s="110"/>
      <c r="Z519" s="110"/>
      <c r="AA519" s="110"/>
      <c r="AB519" s="112"/>
      <c r="AC519" s="5"/>
      <c r="AD519" s="5"/>
      <c r="AE519" s="5"/>
      <c r="AF519" s="5"/>
      <c r="AG519" s="5"/>
      <c r="AH519" s="5"/>
      <c r="AI519" s="5"/>
      <c r="AJ519" s="5"/>
      <c r="AK519" s="5"/>
      <c r="AL519" s="112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</row>
    <row r="520" ht="18.0" customHeight="1">
      <c r="A520" s="109"/>
      <c r="B520" s="113"/>
      <c r="C520" s="114"/>
      <c r="D520" s="114"/>
      <c r="E520" s="114"/>
      <c r="F520" s="114"/>
      <c r="G520" s="113"/>
      <c r="H520" s="114"/>
      <c r="I520" s="114"/>
      <c r="J520" s="114"/>
      <c r="K520" s="114"/>
      <c r="L520" s="114"/>
      <c r="M520" s="114"/>
      <c r="N520" s="114"/>
      <c r="O520" s="110"/>
      <c r="P520" s="110"/>
      <c r="Q520" s="110"/>
      <c r="R520" s="110"/>
      <c r="S520" s="110"/>
      <c r="T520" s="110"/>
      <c r="U520" s="110"/>
      <c r="V520" s="110"/>
      <c r="W520" s="110"/>
      <c r="X520" s="110"/>
      <c r="Y520" s="110"/>
      <c r="Z520" s="110"/>
      <c r="AA520" s="110"/>
      <c r="AB520" s="112"/>
      <c r="AC520" s="5"/>
      <c r="AD520" s="5"/>
      <c r="AE520" s="5"/>
      <c r="AF520" s="5"/>
      <c r="AG520" s="5"/>
      <c r="AH520" s="5"/>
      <c r="AI520" s="5"/>
      <c r="AJ520" s="5"/>
      <c r="AK520" s="5"/>
      <c r="AL520" s="112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</row>
    <row r="521" ht="18.0" customHeight="1">
      <c r="A521" s="109"/>
      <c r="B521" s="113"/>
      <c r="C521" s="114"/>
      <c r="D521" s="114"/>
      <c r="E521" s="114"/>
      <c r="F521" s="114"/>
      <c r="G521" s="113"/>
      <c r="H521" s="114"/>
      <c r="I521" s="114"/>
      <c r="J521" s="114"/>
      <c r="K521" s="114"/>
      <c r="L521" s="114"/>
      <c r="M521" s="114"/>
      <c r="N521" s="114"/>
      <c r="O521" s="110"/>
      <c r="P521" s="110"/>
      <c r="Q521" s="110"/>
      <c r="R521" s="110"/>
      <c r="S521" s="110"/>
      <c r="T521" s="110"/>
      <c r="U521" s="110"/>
      <c r="V521" s="110"/>
      <c r="W521" s="110"/>
      <c r="X521" s="110"/>
      <c r="Y521" s="110"/>
      <c r="Z521" s="110"/>
      <c r="AA521" s="110"/>
      <c r="AB521" s="112"/>
      <c r="AC521" s="5"/>
      <c r="AD521" s="5"/>
      <c r="AE521" s="5"/>
      <c r="AF521" s="5"/>
      <c r="AG521" s="5"/>
      <c r="AH521" s="5"/>
      <c r="AI521" s="5"/>
      <c r="AJ521" s="5"/>
      <c r="AK521" s="5"/>
      <c r="AL521" s="112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</row>
    <row r="522" ht="18.0" customHeight="1">
      <c r="A522" s="109"/>
      <c r="B522" s="113"/>
      <c r="C522" s="114"/>
      <c r="D522" s="114"/>
      <c r="E522" s="114"/>
      <c r="F522" s="114"/>
      <c r="G522" s="113"/>
      <c r="H522" s="114"/>
      <c r="I522" s="114"/>
      <c r="J522" s="114"/>
      <c r="K522" s="114"/>
      <c r="L522" s="114"/>
      <c r="M522" s="114"/>
      <c r="N522" s="114"/>
      <c r="O522" s="110"/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  <c r="AA522" s="110"/>
      <c r="AB522" s="112"/>
      <c r="AC522" s="5"/>
      <c r="AD522" s="5"/>
      <c r="AE522" s="5"/>
      <c r="AF522" s="5"/>
      <c r="AG522" s="5"/>
      <c r="AH522" s="5"/>
      <c r="AI522" s="5"/>
      <c r="AJ522" s="5"/>
      <c r="AK522" s="5"/>
      <c r="AL522" s="112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</row>
    <row r="523" ht="18.0" customHeight="1">
      <c r="A523" s="109"/>
      <c r="B523" s="113"/>
      <c r="C523" s="114"/>
      <c r="D523" s="114"/>
      <c r="E523" s="114"/>
      <c r="F523" s="114"/>
      <c r="G523" s="113"/>
      <c r="H523" s="114"/>
      <c r="I523" s="114"/>
      <c r="J523" s="114"/>
      <c r="K523" s="114"/>
      <c r="L523" s="114"/>
      <c r="M523" s="114"/>
      <c r="N523" s="114"/>
      <c r="O523" s="110"/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  <c r="AA523" s="110"/>
      <c r="AB523" s="112"/>
      <c r="AC523" s="5"/>
      <c r="AD523" s="5"/>
      <c r="AE523" s="5"/>
      <c r="AF523" s="5"/>
      <c r="AG523" s="5"/>
      <c r="AH523" s="5"/>
      <c r="AI523" s="5"/>
      <c r="AJ523" s="5"/>
      <c r="AK523" s="5"/>
      <c r="AL523" s="112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</row>
    <row r="524" ht="18.0" customHeight="1">
      <c r="A524" s="109"/>
      <c r="B524" s="113"/>
      <c r="C524" s="114"/>
      <c r="D524" s="114"/>
      <c r="E524" s="114"/>
      <c r="F524" s="114"/>
      <c r="G524" s="113"/>
      <c r="H524" s="114"/>
      <c r="I524" s="114"/>
      <c r="J524" s="114"/>
      <c r="K524" s="114"/>
      <c r="L524" s="114"/>
      <c r="M524" s="114"/>
      <c r="N524" s="114"/>
      <c r="O524" s="110"/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  <c r="AA524" s="110"/>
      <c r="AB524" s="112"/>
      <c r="AC524" s="5"/>
      <c r="AD524" s="5"/>
      <c r="AE524" s="5"/>
      <c r="AF524" s="5"/>
      <c r="AG524" s="5"/>
      <c r="AH524" s="5"/>
      <c r="AI524" s="5"/>
      <c r="AJ524" s="5"/>
      <c r="AK524" s="5"/>
      <c r="AL524" s="112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</row>
    <row r="525" ht="18.0" customHeight="1">
      <c r="A525" s="109"/>
      <c r="B525" s="113"/>
      <c r="C525" s="114"/>
      <c r="D525" s="114"/>
      <c r="E525" s="114"/>
      <c r="F525" s="114"/>
      <c r="G525" s="113"/>
      <c r="H525" s="114"/>
      <c r="I525" s="114"/>
      <c r="J525" s="114"/>
      <c r="K525" s="114"/>
      <c r="L525" s="114"/>
      <c r="M525" s="114"/>
      <c r="N525" s="114"/>
      <c r="O525" s="110"/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  <c r="AA525" s="110"/>
      <c r="AB525" s="112"/>
      <c r="AC525" s="5"/>
      <c r="AD525" s="5"/>
      <c r="AE525" s="5"/>
      <c r="AF525" s="5"/>
      <c r="AG525" s="5"/>
      <c r="AH525" s="5"/>
      <c r="AI525" s="5"/>
      <c r="AJ525" s="5"/>
      <c r="AK525" s="5"/>
      <c r="AL525" s="112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</row>
    <row r="526" ht="18.0" customHeight="1">
      <c r="A526" s="109"/>
      <c r="B526" s="113"/>
      <c r="C526" s="114"/>
      <c r="D526" s="114"/>
      <c r="E526" s="114"/>
      <c r="F526" s="114"/>
      <c r="G526" s="113"/>
      <c r="H526" s="114"/>
      <c r="I526" s="114"/>
      <c r="J526" s="114"/>
      <c r="K526" s="114"/>
      <c r="L526" s="114"/>
      <c r="M526" s="114"/>
      <c r="N526" s="114"/>
      <c r="O526" s="110"/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  <c r="AA526" s="110"/>
      <c r="AB526" s="112"/>
      <c r="AC526" s="5"/>
      <c r="AD526" s="5"/>
      <c r="AE526" s="5"/>
      <c r="AF526" s="5"/>
      <c r="AG526" s="5"/>
      <c r="AH526" s="5"/>
      <c r="AI526" s="5"/>
      <c r="AJ526" s="5"/>
      <c r="AK526" s="5"/>
      <c r="AL526" s="112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</row>
    <row r="527" ht="18.0" customHeight="1">
      <c r="A527" s="109"/>
      <c r="B527" s="113"/>
      <c r="C527" s="114"/>
      <c r="D527" s="114"/>
      <c r="E527" s="114"/>
      <c r="F527" s="114"/>
      <c r="G527" s="113"/>
      <c r="H527" s="114"/>
      <c r="I527" s="114"/>
      <c r="J527" s="114"/>
      <c r="K527" s="114"/>
      <c r="L527" s="114"/>
      <c r="M527" s="114"/>
      <c r="N527" s="114"/>
      <c r="O527" s="110"/>
      <c r="P527" s="110"/>
      <c r="Q527" s="110"/>
      <c r="R527" s="110"/>
      <c r="S527" s="110"/>
      <c r="T527" s="110"/>
      <c r="U527" s="110"/>
      <c r="V527" s="110"/>
      <c r="W527" s="110"/>
      <c r="X527" s="110"/>
      <c r="Y527" s="110"/>
      <c r="Z527" s="110"/>
      <c r="AA527" s="110"/>
      <c r="AB527" s="112"/>
      <c r="AC527" s="5"/>
      <c r="AD527" s="5"/>
      <c r="AE527" s="5"/>
      <c r="AF527" s="5"/>
      <c r="AG527" s="5"/>
      <c r="AH527" s="5"/>
      <c r="AI527" s="5"/>
      <c r="AJ527" s="5"/>
      <c r="AK527" s="5"/>
      <c r="AL527" s="112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</row>
    <row r="528" ht="18.0" customHeight="1">
      <c r="A528" s="109"/>
      <c r="B528" s="113"/>
      <c r="C528" s="114"/>
      <c r="D528" s="114"/>
      <c r="E528" s="114"/>
      <c r="F528" s="114"/>
      <c r="G528" s="113"/>
      <c r="H528" s="114"/>
      <c r="I528" s="114"/>
      <c r="J528" s="114"/>
      <c r="K528" s="114"/>
      <c r="L528" s="114"/>
      <c r="M528" s="114"/>
      <c r="N528" s="114"/>
      <c r="O528" s="110"/>
      <c r="P528" s="110"/>
      <c r="Q528" s="110"/>
      <c r="R528" s="110"/>
      <c r="S528" s="110"/>
      <c r="T528" s="110"/>
      <c r="U528" s="110"/>
      <c r="V528" s="110"/>
      <c r="W528" s="110"/>
      <c r="X528" s="110"/>
      <c r="Y528" s="110"/>
      <c r="Z528" s="110"/>
      <c r="AA528" s="110"/>
      <c r="AB528" s="112"/>
      <c r="AC528" s="5"/>
      <c r="AD528" s="5"/>
      <c r="AE528" s="5"/>
      <c r="AF528" s="5"/>
      <c r="AG528" s="5"/>
      <c r="AH528" s="5"/>
      <c r="AI528" s="5"/>
      <c r="AJ528" s="5"/>
      <c r="AK528" s="5"/>
      <c r="AL528" s="112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</row>
    <row r="529" ht="18.0" customHeight="1">
      <c r="A529" s="109"/>
      <c r="B529" s="113"/>
      <c r="C529" s="114"/>
      <c r="D529" s="114"/>
      <c r="E529" s="114"/>
      <c r="F529" s="114"/>
      <c r="G529" s="113"/>
      <c r="H529" s="114"/>
      <c r="I529" s="114"/>
      <c r="J529" s="114"/>
      <c r="K529" s="114"/>
      <c r="L529" s="114"/>
      <c r="M529" s="114"/>
      <c r="N529" s="114"/>
      <c r="O529" s="110"/>
      <c r="P529" s="110"/>
      <c r="Q529" s="110"/>
      <c r="R529" s="110"/>
      <c r="S529" s="110"/>
      <c r="T529" s="110"/>
      <c r="U529" s="110"/>
      <c r="V529" s="110"/>
      <c r="W529" s="110"/>
      <c r="X529" s="110"/>
      <c r="Y529" s="110"/>
      <c r="Z529" s="110"/>
      <c r="AA529" s="110"/>
      <c r="AB529" s="112"/>
      <c r="AC529" s="5"/>
      <c r="AD529" s="5"/>
      <c r="AE529" s="5"/>
      <c r="AF529" s="5"/>
      <c r="AG529" s="5"/>
      <c r="AH529" s="5"/>
      <c r="AI529" s="5"/>
      <c r="AJ529" s="5"/>
      <c r="AK529" s="5"/>
      <c r="AL529" s="112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</row>
    <row r="530" ht="18.0" customHeight="1">
      <c r="A530" s="109"/>
      <c r="B530" s="113"/>
      <c r="C530" s="114"/>
      <c r="D530" s="114"/>
      <c r="E530" s="114"/>
      <c r="F530" s="114"/>
      <c r="G530" s="113"/>
      <c r="H530" s="114"/>
      <c r="I530" s="114"/>
      <c r="J530" s="114"/>
      <c r="K530" s="114"/>
      <c r="L530" s="114"/>
      <c r="M530" s="114"/>
      <c r="N530" s="114"/>
      <c r="O530" s="110"/>
      <c r="P530" s="110"/>
      <c r="Q530" s="110"/>
      <c r="R530" s="110"/>
      <c r="S530" s="110"/>
      <c r="T530" s="110"/>
      <c r="U530" s="110"/>
      <c r="V530" s="110"/>
      <c r="W530" s="110"/>
      <c r="X530" s="110"/>
      <c r="Y530" s="110"/>
      <c r="Z530" s="110"/>
      <c r="AA530" s="110"/>
      <c r="AB530" s="112"/>
      <c r="AC530" s="5"/>
      <c r="AD530" s="5"/>
      <c r="AE530" s="5"/>
      <c r="AF530" s="5"/>
      <c r="AG530" s="5"/>
      <c r="AH530" s="5"/>
      <c r="AI530" s="5"/>
      <c r="AJ530" s="5"/>
      <c r="AK530" s="5"/>
      <c r="AL530" s="112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</row>
    <row r="531" ht="18.0" customHeight="1">
      <c r="A531" s="109"/>
      <c r="B531" s="113"/>
      <c r="C531" s="114"/>
      <c r="D531" s="114"/>
      <c r="E531" s="114"/>
      <c r="F531" s="114"/>
      <c r="G531" s="113"/>
      <c r="H531" s="114"/>
      <c r="I531" s="114"/>
      <c r="J531" s="114"/>
      <c r="K531" s="114"/>
      <c r="L531" s="114"/>
      <c r="M531" s="114"/>
      <c r="N531" s="114"/>
      <c r="O531" s="110"/>
      <c r="P531" s="110"/>
      <c r="Q531" s="110"/>
      <c r="R531" s="110"/>
      <c r="S531" s="110"/>
      <c r="T531" s="110"/>
      <c r="U531" s="110"/>
      <c r="V531" s="110"/>
      <c r="W531" s="110"/>
      <c r="X531" s="110"/>
      <c r="Y531" s="110"/>
      <c r="Z531" s="110"/>
      <c r="AA531" s="110"/>
      <c r="AB531" s="112"/>
      <c r="AC531" s="5"/>
      <c r="AD531" s="5"/>
      <c r="AE531" s="5"/>
      <c r="AF531" s="5"/>
      <c r="AG531" s="5"/>
      <c r="AH531" s="5"/>
      <c r="AI531" s="5"/>
      <c r="AJ531" s="5"/>
      <c r="AK531" s="5"/>
      <c r="AL531" s="112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</row>
    <row r="532" ht="18.0" customHeight="1">
      <c r="A532" s="109"/>
      <c r="B532" s="113"/>
      <c r="C532" s="114"/>
      <c r="D532" s="114"/>
      <c r="E532" s="114"/>
      <c r="F532" s="114"/>
      <c r="G532" s="113"/>
      <c r="H532" s="114"/>
      <c r="I532" s="114"/>
      <c r="J532" s="114"/>
      <c r="K532" s="114"/>
      <c r="L532" s="114"/>
      <c r="M532" s="114"/>
      <c r="N532" s="114"/>
      <c r="O532" s="110"/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  <c r="AA532" s="110"/>
      <c r="AB532" s="112"/>
      <c r="AC532" s="5"/>
      <c r="AD532" s="5"/>
      <c r="AE532" s="5"/>
      <c r="AF532" s="5"/>
      <c r="AG532" s="5"/>
      <c r="AH532" s="5"/>
      <c r="AI532" s="5"/>
      <c r="AJ532" s="5"/>
      <c r="AK532" s="5"/>
      <c r="AL532" s="112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</row>
    <row r="533" ht="18.0" customHeight="1">
      <c r="A533" s="109"/>
      <c r="B533" s="113"/>
      <c r="C533" s="114"/>
      <c r="D533" s="114"/>
      <c r="E533" s="114"/>
      <c r="F533" s="114"/>
      <c r="G533" s="113"/>
      <c r="H533" s="114"/>
      <c r="I533" s="114"/>
      <c r="J533" s="114"/>
      <c r="K533" s="114"/>
      <c r="L533" s="114"/>
      <c r="M533" s="114"/>
      <c r="N533" s="114"/>
      <c r="O533" s="110"/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  <c r="AA533" s="110"/>
      <c r="AB533" s="112"/>
      <c r="AC533" s="5"/>
      <c r="AD533" s="5"/>
      <c r="AE533" s="5"/>
      <c r="AF533" s="5"/>
      <c r="AG533" s="5"/>
      <c r="AH533" s="5"/>
      <c r="AI533" s="5"/>
      <c r="AJ533" s="5"/>
      <c r="AK533" s="5"/>
      <c r="AL533" s="112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</row>
    <row r="534" ht="18.0" customHeight="1">
      <c r="A534" s="109"/>
      <c r="B534" s="113"/>
      <c r="C534" s="114"/>
      <c r="D534" s="114"/>
      <c r="E534" s="114"/>
      <c r="F534" s="114"/>
      <c r="G534" s="113"/>
      <c r="H534" s="114"/>
      <c r="I534" s="114"/>
      <c r="J534" s="114"/>
      <c r="K534" s="114"/>
      <c r="L534" s="114"/>
      <c r="M534" s="114"/>
      <c r="N534" s="114"/>
      <c r="O534" s="110"/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  <c r="AA534" s="110"/>
      <c r="AB534" s="112"/>
      <c r="AC534" s="5"/>
      <c r="AD534" s="5"/>
      <c r="AE534" s="5"/>
      <c r="AF534" s="5"/>
      <c r="AG534" s="5"/>
      <c r="AH534" s="5"/>
      <c r="AI534" s="5"/>
      <c r="AJ534" s="5"/>
      <c r="AK534" s="5"/>
      <c r="AL534" s="112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</row>
    <row r="535" ht="18.0" customHeight="1">
      <c r="A535" s="109"/>
      <c r="B535" s="113"/>
      <c r="C535" s="114"/>
      <c r="D535" s="114"/>
      <c r="E535" s="114"/>
      <c r="F535" s="114"/>
      <c r="G535" s="113"/>
      <c r="H535" s="114"/>
      <c r="I535" s="114"/>
      <c r="J535" s="114"/>
      <c r="K535" s="114"/>
      <c r="L535" s="114"/>
      <c r="M535" s="114"/>
      <c r="N535" s="114"/>
      <c r="O535" s="110"/>
      <c r="P535" s="110"/>
      <c r="Q535" s="110"/>
      <c r="R535" s="110"/>
      <c r="S535" s="110"/>
      <c r="T535" s="110"/>
      <c r="U535" s="110"/>
      <c r="V535" s="110"/>
      <c r="W535" s="110"/>
      <c r="X535" s="110"/>
      <c r="Y535" s="110"/>
      <c r="Z535" s="110"/>
      <c r="AA535" s="110"/>
      <c r="AB535" s="112"/>
      <c r="AC535" s="5"/>
      <c r="AD535" s="5"/>
      <c r="AE535" s="5"/>
      <c r="AF535" s="5"/>
      <c r="AG535" s="5"/>
      <c r="AH535" s="5"/>
      <c r="AI535" s="5"/>
      <c r="AJ535" s="5"/>
      <c r="AK535" s="5"/>
      <c r="AL535" s="112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</row>
    <row r="536" ht="18.0" customHeight="1">
      <c r="A536" s="109"/>
      <c r="B536" s="113"/>
      <c r="C536" s="114"/>
      <c r="D536" s="114"/>
      <c r="E536" s="114"/>
      <c r="F536" s="114"/>
      <c r="G536" s="113"/>
      <c r="H536" s="114"/>
      <c r="I536" s="114"/>
      <c r="J536" s="114"/>
      <c r="K536" s="114"/>
      <c r="L536" s="114"/>
      <c r="M536" s="114"/>
      <c r="N536" s="114"/>
      <c r="O536" s="110"/>
      <c r="P536" s="110"/>
      <c r="Q536" s="110"/>
      <c r="R536" s="110"/>
      <c r="S536" s="110"/>
      <c r="T536" s="110"/>
      <c r="U536" s="110"/>
      <c r="V536" s="110"/>
      <c r="W536" s="110"/>
      <c r="X536" s="110"/>
      <c r="Y536" s="110"/>
      <c r="Z536" s="110"/>
      <c r="AA536" s="110"/>
      <c r="AB536" s="112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</row>
    <row r="537" ht="18.0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</row>
    <row r="538" ht="18.0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</row>
    <row r="539" ht="18.0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</row>
    <row r="540" ht="18.0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</row>
    <row r="541" ht="18.0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</row>
    <row r="542" ht="18.0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</row>
    <row r="543" ht="18.0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</row>
    <row r="544" ht="18.0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</row>
    <row r="545" ht="18.0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</row>
    <row r="546" ht="18.0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</row>
    <row r="547" ht="18.0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</row>
    <row r="548" ht="18.0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</row>
    <row r="549" ht="18.0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</row>
    <row r="550" ht="18.0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</row>
    <row r="551" ht="18.0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</row>
    <row r="552" ht="18.0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</row>
    <row r="553" ht="18.0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</row>
    <row r="554" ht="18.0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</row>
    <row r="555" ht="18.0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</row>
    <row r="556" ht="18.0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</row>
    <row r="557" ht="18.0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</row>
    <row r="558" ht="18.0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</row>
    <row r="559" ht="18.0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</row>
    <row r="560" ht="18.0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</row>
    <row r="561" ht="18.0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</row>
    <row r="562" ht="18.0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</row>
    <row r="563" ht="18.0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</row>
    <row r="564" ht="18.0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</row>
    <row r="565" ht="18.0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</row>
    <row r="566" ht="18.0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</row>
    <row r="567" ht="18.0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</row>
    <row r="568" ht="18.0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</row>
    <row r="569" ht="18.0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</row>
    <row r="570" ht="18.0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</row>
    <row r="571" ht="18.0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</row>
    <row r="572" ht="18.0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</row>
    <row r="573" ht="18.0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</row>
    <row r="574" ht="18.0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</row>
    <row r="575" ht="18.0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</row>
    <row r="576" ht="18.0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</row>
    <row r="577" ht="18.0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</row>
    <row r="578" ht="18.0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</row>
    <row r="579" ht="18.0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</row>
    <row r="580" ht="18.0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</row>
    <row r="581" ht="18.0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</row>
    <row r="582" ht="18.0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</row>
    <row r="583" ht="18.0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</row>
    <row r="584" ht="18.0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</row>
    <row r="585" ht="18.0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</row>
    <row r="586" ht="18.0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</row>
    <row r="587" ht="18.0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</row>
    <row r="588" ht="18.0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</row>
    <row r="589" ht="18.0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</row>
    <row r="590" ht="18.0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</row>
    <row r="591" ht="18.0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</row>
    <row r="592" ht="18.0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</row>
    <row r="593" ht="18.0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</row>
    <row r="594" ht="18.0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</row>
    <row r="595" ht="18.0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</row>
    <row r="596" ht="18.0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</row>
    <row r="597" ht="18.0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</row>
    <row r="598" ht="18.0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</row>
    <row r="599" ht="18.0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</row>
    <row r="600" ht="18.0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</row>
    <row r="601" ht="18.0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</row>
    <row r="602" ht="18.0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</row>
    <row r="603" ht="18.0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</row>
    <row r="604" ht="18.0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</row>
    <row r="605" ht="18.0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</row>
    <row r="606" ht="18.0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</row>
    <row r="607" ht="18.0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</row>
    <row r="608" ht="18.0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</row>
    <row r="609" ht="18.0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</row>
    <row r="610" ht="18.0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</row>
    <row r="611" ht="18.0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</row>
    <row r="612" ht="18.0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</row>
    <row r="613" ht="18.0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</row>
    <row r="614" ht="18.0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</row>
    <row r="615" ht="18.0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</row>
    <row r="616" ht="18.0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</row>
    <row r="617" ht="18.0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</row>
    <row r="618" ht="18.0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</row>
    <row r="619" ht="18.0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</row>
    <row r="620" ht="18.0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</row>
    <row r="621" ht="18.0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</row>
    <row r="622" ht="18.0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</row>
    <row r="623" ht="18.0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</row>
    <row r="624" ht="18.0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</row>
    <row r="625" ht="18.0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</row>
    <row r="626" ht="18.0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</row>
    <row r="627" ht="18.0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</row>
    <row r="628" ht="18.0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</row>
    <row r="629" ht="18.0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</row>
    <row r="630" ht="18.0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</row>
    <row r="631" ht="18.0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</row>
    <row r="632" ht="18.0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</row>
    <row r="633" ht="18.0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</row>
    <row r="634" ht="18.0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</row>
    <row r="635" ht="18.0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</row>
    <row r="636" ht="18.0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</row>
    <row r="637" ht="18.0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</row>
    <row r="638" ht="18.0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</row>
    <row r="639" ht="18.0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</row>
    <row r="640" ht="18.0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</row>
    <row r="641" ht="18.0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</row>
    <row r="642" ht="18.0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</row>
    <row r="643" ht="18.0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</row>
    <row r="644" ht="18.0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</row>
    <row r="645" ht="18.0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</row>
    <row r="646" ht="18.0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</row>
    <row r="647" ht="18.0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</row>
    <row r="648" ht="18.0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</row>
    <row r="649" ht="18.0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</row>
    <row r="650" ht="18.0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</row>
    <row r="651" ht="18.0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</row>
    <row r="652" ht="18.0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</row>
    <row r="653" ht="18.0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</row>
    <row r="654" ht="18.0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</row>
    <row r="655" ht="18.0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</row>
    <row r="656" ht="18.0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</row>
    <row r="657" ht="18.0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</row>
    <row r="658" ht="18.0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</row>
    <row r="659" ht="18.0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</row>
    <row r="660" ht="18.0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</row>
    <row r="661" ht="18.0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</row>
    <row r="662" ht="18.0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</row>
    <row r="663" ht="18.0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</row>
    <row r="664" ht="18.0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</row>
    <row r="665" ht="18.0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</row>
    <row r="666" ht="18.0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</row>
    <row r="667" ht="18.0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</row>
    <row r="668" ht="18.0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</row>
    <row r="669" ht="18.0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</row>
    <row r="670" ht="18.0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</row>
    <row r="671" ht="18.0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</row>
    <row r="672" ht="18.0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</row>
    <row r="673" ht="18.0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</row>
    <row r="674" ht="18.0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</row>
    <row r="675" ht="18.0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</row>
    <row r="676" ht="18.0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</row>
    <row r="677" ht="18.0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</row>
    <row r="678" ht="18.0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</row>
    <row r="679" ht="18.0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</row>
    <row r="680" ht="18.0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</row>
    <row r="681" ht="18.0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</row>
    <row r="682" ht="18.0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</row>
    <row r="683" ht="18.0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</row>
    <row r="684" ht="18.0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</row>
    <row r="685" ht="18.0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</row>
    <row r="686" ht="18.0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</row>
    <row r="687" ht="18.0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</row>
    <row r="688" ht="18.0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</row>
    <row r="689" ht="18.0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</row>
    <row r="690" ht="18.0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</row>
    <row r="691" ht="18.0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</row>
    <row r="692" ht="18.0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</row>
    <row r="693" ht="18.0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</row>
    <row r="694" ht="18.0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</row>
    <row r="695" ht="18.0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</row>
    <row r="696" ht="18.0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</row>
    <row r="697" ht="18.0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</row>
    <row r="698" ht="18.0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</row>
    <row r="699" ht="18.0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</row>
    <row r="700" ht="18.0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</row>
    <row r="701" ht="18.0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</row>
    <row r="702" ht="18.0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</row>
    <row r="703" ht="18.0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</row>
    <row r="704" ht="18.0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</row>
    <row r="705" ht="18.0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</row>
    <row r="706" ht="18.0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</row>
    <row r="707" ht="18.0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</row>
    <row r="708" ht="18.0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</row>
    <row r="709" ht="18.0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</row>
    <row r="710" ht="18.0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</row>
    <row r="711" ht="18.0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</row>
    <row r="712" ht="18.0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</row>
    <row r="713" ht="18.0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</row>
    <row r="714" ht="18.0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</row>
    <row r="715" ht="18.0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</row>
    <row r="716" ht="18.0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</row>
    <row r="717" ht="18.0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</row>
    <row r="718" ht="18.0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</row>
    <row r="719" ht="18.0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</row>
    <row r="720" ht="18.0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</row>
    <row r="721" ht="18.0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</row>
    <row r="722" ht="18.0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</row>
    <row r="723" ht="18.0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</row>
    <row r="724" ht="18.0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</row>
    <row r="725" ht="18.0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</row>
    <row r="726" ht="18.0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</row>
    <row r="727" ht="18.0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</row>
    <row r="728" ht="18.0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</row>
    <row r="729" ht="18.0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</row>
    <row r="730" ht="18.0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</row>
    <row r="731" ht="18.0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</row>
    <row r="732" ht="18.0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</row>
    <row r="733" ht="18.0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</row>
    <row r="734" ht="18.0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</row>
    <row r="735" ht="18.0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</row>
    <row r="736" ht="18.0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</row>
    <row r="737" ht="18.0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</row>
    <row r="738" ht="18.0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</row>
    <row r="739" ht="18.0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</row>
    <row r="740" ht="18.0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</row>
    <row r="741" ht="18.0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</row>
    <row r="742" ht="18.0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</row>
    <row r="743" ht="18.0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</row>
    <row r="744" ht="18.0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</row>
    <row r="745" ht="18.0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</row>
    <row r="746" ht="18.0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</row>
    <row r="747" ht="18.0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</row>
    <row r="748" ht="18.0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</row>
    <row r="749" ht="18.0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</row>
    <row r="750" ht="18.0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</row>
    <row r="751" ht="18.0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</row>
    <row r="752" ht="18.0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</row>
    <row r="753" ht="18.0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</row>
    <row r="754" ht="18.0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</row>
    <row r="755" ht="18.0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</row>
    <row r="756" ht="18.0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</row>
    <row r="757" ht="18.0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</row>
    <row r="758" ht="18.0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</row>
    <row r="759" ht="18.0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</row>
    <row r="760" ht="18.0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</row>
    <row r="761" ht="18.0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</row>
    <row r="762" ht="18.0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</row>
    <row r="763" ht="18.0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</row>
    <row r="764" ht="18.0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</row>
    <row r="765" ht="18.0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</row>
    <row r="766" ht="18.0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</row>
    <row r="767" ht="18.0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</row>
    <row r="768" ht="18.0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</row>
    <row r="769" ht="18.0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</row>
    <row r="770" ht="18.0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</row>
    <row r="771" ht="18.0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</row>
    <row r="772" ht="18.0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</row>
    <row r="773" ht="18.0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</row>
    <row r="774" ht="18.0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</row>
    <row r="775" ht="18.0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</row>
    <row r="776" ht="18.0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</row>
    <row r="777" ht="18.0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</row>
    <row r="778" ht="18.0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</row>
    <row r="779" ht="18.0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</row>
    <row r="780" ht="18.0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</row>
    <row r="781" ht="18.0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</row>
    <row r="782" ht="18.0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</row>
    <row r="783" ht="18.0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</row>
    <row r="784" ht="18.0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</row>
    <row r="785" ht="18.0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</row>
    <row r="786" ht="18.0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</row>
    <row r="787" ht="18.0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</row>
    <row r="788" ht="18.0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</row>
    <row r="789" ht="18.0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</row>
    <row r="790" ht="18.0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</row>
    <row r="791" ht="18.0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</row>
    <row r="792" ht="18.0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</row>
    <row r="793" ht="18.0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</row>
    <row r="794" ht="18.0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</row>
    <row r="795" ht="18.0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</row>
    <row r="796" ht="18.0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</row>
    <row r="797" ht="18.0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</row>
    <row r="798" ht="18.0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</row>
    <row r="799" ht="18.0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</row>
    <row r="800" ht="18.0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</row>
    <row r="801" ht="18.0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</row>
    <row r="802" ht="18.0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</row>
    <row r="803" ht="18.0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</row>
    <row r="804" ht="18.0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</row>
    <row r="805" ht="18.0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</row>
    <row r="806" ht="18.0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</row>
    <row r="807" ht="18.0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</row>
    <row r="808" ht="18.0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</row>
    <row r="809" ht="18.0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</row>
    <row r="810" ht="18.0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</row>
    <row r="811" ht="18.0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</row>
    <row r="812" ht="18.0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</row>
    <row r="813" ht="18.0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</row>
    <row r="814" ht="18.0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</row>
    <row r="815" ht="18.0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</row>
    <row r="816" ht="18.0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</row>
    <row r="817" ht="18.0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</row>
    <row r="818" ht="18.0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</row>
    <row r="819" ht="18.0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</row>
    <row r="820" ht="18.0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</row>
    <row r="821" ht="18.0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</row>
    <row r="822" ht="18.0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</row>
    <row r="823" ht="18.0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</row>
    <row r="824" ht="18.0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</row>
    <row r="825" ht="18.0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</row>
    <row r="826" ht="18.0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</row>
    <row r="827" ht="18.0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</row>
    <row r="828" ht="18.0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</row>
    <row r="829" ht="18.0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</row>
    <row r="830" ht="18.0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</row>
    <row r="831" ht="18.0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</row>
    <row r="832" ht="18.0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</row>
    <row r="833" ht="18.0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</row>
    <row r="834" ht="18.0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</row>
    <row r="835" ht="18.0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</row>
    <row r="836" ht="18.0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</row>
    <row r="837" ht="18.0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</row>
    <row r="838" ht="18.0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</row>
    <row r="839" ht="18.0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</row>
    <row r="840" ht="18.0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</row>
    <row r="841" ht="18.0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</row>
    <row r="842" ht="18.0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</row>
    <row r="843" ht="18.0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</row>
    <row r="844" ht="18.0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</row>
    <row r="845" ht="18.0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</row>
    <row r="846" ht="18.0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</row>
    <row r="847" ht="18.0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</row>
    <row r="848" ht="18.0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</row>
    <row r="849" ht="18.0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</row>
    <row r="850" ht="18.0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</row>
    <row r="851" ht="18.0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</row>
    <row r="852" ht="18.0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</row>
    <row r="853" ht="18.0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</row>
    <row r="854" ht="18.0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</row>
    <row r="855" ht="18.0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</row>
    <row r="856" ht="18.0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</row>
    <row r="857" ht="18.0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</row>
    <row r="858" ht="18.0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</row>
    <row r="859" ht="18.0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</row>
    <row r="860" ht="18.0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</row>
    <row r="861" ht="18.0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</row>
    <row r="862" ht="18.0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</row>
    <row r="863" ht="18.0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</row>
    <row r="864" ht="18.0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</row>
    <row r="865" ht="18.0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</row>
    <row r="866" ht="18.0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</row>
    <row r="867" ht="18.0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</row>
    <row r="868" ht="18.0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</row>
    <row r="869" ht="18.0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</row>
    <row r="870" ht="18.0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</row>
    <row r="871" ht="18.0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</row>
    <row r="872" ht="18.0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</row>
    <row r="873" ht="18.0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</row>
    <row r="874" ht="18.0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</row>
    <row r="875" ht="18.0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</row>
    <row r="876" ht="18.0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</row>
    <row r="877" ht="18.0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</row>
    <row r="878" ht="18.0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</row>
    <row r="879" ht="18.0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</row>
    <row r="880" ht="18.0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</row>
    <row r="881" ht="18.0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</row>
    <row r="882" ht="18.0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</row>
    <row r="883" ht="18.0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</row>
    <row r="884" ht="18.0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</row>
    <row r="885" ht="18.0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</row>
    <row r="886" ht="18.0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</row>
    <row r="887" ht="18.0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</row>
    <row r="888" ht="18.0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</row>
    <row r="889" ht="18.0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</row>
    <row r="890" ht="18.0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</row>
    <row r="891" ht="18.0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</row>
    <row r="892" ht="18.0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</row>
    <row r="893" ht="18.0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</row>
    <row r="894" ht="18.0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</row>
    <row r="895" ht="18.0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</row>
    <row r="896" ht="18.0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</row>
    <row r="897" ht="18.0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</row>
    <row r="898" ht="18.0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</row>
    <row r="899" ht="18.0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</row>
    <row r="900" ht="18.0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</row>
    <row r="901" ht="18.0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</row>
    <row r="902" ht="18.0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</row>
    <row r="903" ht="18.0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</row>
    <row r="904" ht="18.0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</row>
    <row r="905" ht="18.0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</row>
    <row r="906" ht="18.0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</row>
    <row r="907" ht="18.0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</row>
    <row r="908" ht="18.0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</row>
    <row r="909" ht="18.0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</row>
    <row r="910" ht="18.0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</row>
    <row r="911" ht="18.0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</row>
    <row r="912" ht="18.0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</row>
    <row r="913" ht="18.0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</row>
    <row r="914" ht="18.0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</row>
    <row r="915" ht="18.0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</row>
    <row r="916" ht="18.0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</row>
    <row r="917" ht="18.0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</row>
    <row r="918" ht="18.0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</row>
    <row r="919" ht="18.0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</row>
    <row r="920" ht="18.0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</row>
    <row r="921" ht="18.0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</row>
    <row r="922" ht="18.0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</row>
    <row r="923" ht="18.0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</row>
    <row r="924" ht="18.0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</row>
    <row r="925" ht="18.0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</row>
    <row r="926" ht="18.0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</row>
    <row r="927" ht="18.0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</row>
    <row r="928" ht="18.0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</row>
    <row r="929" ht="18.0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</row>
    <row r="930" ht="18.0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</row>
    <row r="931" ht="18.0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</row>
    <row r="932" ht="18.0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</row>
    <row r="933" ht="18.0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</row>
    <row r="934" ht="18.0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</row>
    <row r="935" ht="18.0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</row>
    <row r="936" ht="18.0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</row>
    <row r="937" ht="18.0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</row>
    <row r="938" ht="18.0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</row>
    <row r="939" ht="18.0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</row>
    <row r="940" ht="18.0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</row>
    <row r="941" ht="18.0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</row>
    <row r="942" ht="18.0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</row>
    <row r="943" ht="18.0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</row>
    <row r="944" ht="18.0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</row>
    <row r="945" ht="18.0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</row>
    <row r="946" ht="18.0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</row>
    <row r="947" ht="18.0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</row>
    <row r="948" ht="18.0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</row>
    <row r="949" ht="18.0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</row>
    <row r="950" ht="18.0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</row>
    <row r="951" ht="18.0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</row>
    <row r="952" ht="18.0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</row>
    <row r="953" ht="18.0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</row>
    <row r="954" ht="18.0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</row>
    <row r="955" ht="18.0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</row>
    <row r="956" ht="18.0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</row>
    <row r="957" ht="18.0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</row>
    <row r="958" ht="18.0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</row>
    <row r="959" ht="18.0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</row>
    <row r="960" ht="18.0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</row>
    <row r="961" ht="18.0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</row>
    <row r="962" ht="18.0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</row>
    <row r="963" ht="18.0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</row>
    <row r="964" ht="18.0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</row>
    <row r="965" ht="18.0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</row>
    <row r="966" ht="18.0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</row>
    <row r="967" ht="18.0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</row>
    <row r="968" ht="18.0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</row>
    <row r="969" ht="18.0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</row>
    <row r="970" ht="18.0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</row>
    <row r="971" ht="18.0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</row>
    <row r="972" ht="18.0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</row>
    <row r="973" ht="18.0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</row>
    <row r="974" ht="18.0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</row>
    <row r="975" ht="18.0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</row>
    <row r="976" ht="18.0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</row>
    <row r="977" ht="18.0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</row>
    <row r="978" ht="18.0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</row>
    <row r="979" ht="18.0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</row>
    <row r="980" ht="18.0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</row>
    <row r="981" ht="18.0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</row>
    <row r="982" ht="18.0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</row>
    <row r="983" ht="18.0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</row>
    <row r="984" ht="18.0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</row>
    <row r="985" ht="18.0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</row>
    <row r="986" ht="18.0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</row>
    <row r="987" ht="18.0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</row>
    <row r="988" ht="18.0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</row>
    <row r="989" ht="18.0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</row>
    <row r="990" ht="18.0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</row>
    <row r="991" ht="18.0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</row>
    <row r="992" ht="18.0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</row>
    <row r="993" ht="18.0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</row>
    <row r="994" ht="18.0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</row>
    <row r="995" ht="18.0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</row>
    <row r="996" ht="18.0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</row>
    <row r="997" ht="18.0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</row>
    <row r="998" ht="18.0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</row>
    <row r="999" ht="18.0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</row>
    <row r="1000" ht="18.0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</row>
    <row r="1001" ht="18.0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</row>
    <row r="1002" ht="18.0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</row>
    <row r="1003" ht="18.0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</row>
    <row r="1004" ht="18.0" customHeight="1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</row>
    <row r="1005" ht="18.0" customHeight="1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</row>
    <row r="1006" ht="18.0" customHeight="1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</row>
    <row r="1007" ht="18.0" customHeight="1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</row>
    <row r="1008" ht="18.0" customHeight="1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</row>
    <row r="1009" ht="18.0" customHeight="1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</row>
    <row r="1010" ht="18.0" customHeight="1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</row>
    <row r="1011" ht="18.0" customHeight="1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</row>
    <row r="1012" ht="18.0" customHeight="1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</row>
    <row r="1013" ht="18.0" customHeight="1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</row>
    <row r="1014" ht="18.0" customHeight="1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</row>
    <row r="1015" ht="18.0" customHeight="1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</row>
    <row r="1016" ht="18.0" customHeight="1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</row>
    <row r="1017" ht="18.0" customHeight="1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</row>
    <row r="1018" ht="18.0" customHeight="1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</row>
    <row r="1019" ht="18.0" customHeight="1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</row>
    <row r="1020" ht="18.0" customHeight="1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</row>
    <row r="1021" ht="18.0" customHeight="1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</row>
    <row r="1022" ht="18.0" customHeight="1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</row>
    <row r="1023" ht="18.0" customHeight="1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</row>
    <row r="1024" ht="18.0" customHeight="1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</row>
    <row r="1025" ht="18.0" customHeight="1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</row>
    <row r="1026" ht="18.0" customHeight="1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</row>
    <row r="1027" ht="18.0" customHeight="1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</row>
    <row r="1028" ht="18.0" customHeight="1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</row>
    <row r="1029" ht="18.0" customHeight="1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</row>
    <row r="1030" ht="18.0" customHeight="1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</row>
    <row r="1031" ht="18.0" customHeight="1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</row>
    <row r="1032" ht="18.0" customHeight="1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</row>
    <row r="1033" ht="18.0" customHeight="1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</row>
    <row r="1034" ht="18.0" customHeight="1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</row>
    <row r="1035" ht="18.0" customHeight="1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</row>
    <row r="1036" ht="18.0" customHeight="1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</row>
    <row r="1037" ht="18.0" customHeight="1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</row>
    <row r="1038" ht="18.0" customHeight="1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</row>
    <row r="1039" ht="18.0" customHeight="1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</row>
    <row r="1040" ht="18.0" customHeight="1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</row>
    <row r="1041" ht="18.0" customHeight="1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</row>
    <row r="1042" ht="18.0" customHeight="1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</row>
    <row r="1043" ht="18.0" customHeight="1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</row>
    <row r="1044" ht="18.0" customHeight="1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</row>
    <row r="1045" ht="18.0" customHeight="1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</row>
    <row r="1046" ht="18.0" customHeight="1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</row>
    <row r="1047" ht="18.0" customHeight="1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</row>
    <row r="1048" ht="18.0" customHeight="1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</row>
    <row r="1049" ht="18.0" customHeight="1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</row>
    <row r="1050" ht="18.0" customHeight="1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</row>
    <row r="1051" ht="18.0" customHeight="1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</row>
    <row r="1052" ht="18.0" customHeight="1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</row>
    <row r="1053" ht="18.0" customHeight="1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</row>
    <row r="1054" ht="18.0" customHeight="1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</row>
    <row r="1055" ht="18.0" customHeight="1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</row>
    <row r="1056" ht="18.0" customHeight="1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</row>
    <row r="1057" ht="18.0" customHeight="1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</row>
    <row r="1058" ht="18.0" customHeight="1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</row>
    <row r="1059" ht="18.0" customHeight="1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</row>
    <row r="1060" ht="18.0" customHeight="1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</row>
    <row r="1061" ht="18.0" customHeight="1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</row>
    <row r="1062" ht="18.0" customHeight="1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</row>
    <row r="1063" ht="18.0" customHeight="1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</row>
    <row r="1064" ht="18.0" customHeight="1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</row>
    <row r="1065" ht="18.0" customHeight="1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</row>
    <row r="1066" ht="18.0" customHeight="1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</row>
    <row r="1067" ht="18.0" customHeight="1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</row>
    <row r="1068" ht="18.0" customHeight="1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</row>
    <row r="1069" ht="18.0" customHeight="1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</row>
    <row r="1070" ht="18.0" customHeight="1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</row>
    <row r="1071" ht="18.0" customHeight="1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</row>
    <row r="1072" ht="18.0" customHeight="1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</row>
    <row r="1073" ht="18.0" customHeight="1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</row>
    <row r="1074" ht="18.0" customHeight="1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</row>
    <row r="1075" ht="18.0" customHeight="1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</row>
    <row r="1076" ht="18.0" customHeight="1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</row>
    <row r="1077" ht="18.0" customHeight="1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</row>
    <row r="1078" ht="18.0" customHeight="1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</row>
    <row r="1079" ht="18.0" customHeight="1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</row>
    <row r="1080" ht="18.0" customHeight="1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</row>
    <row r="1081" ht="18.0" customHeight="1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</row>
    <row r="1082" ht="18.0" customHeight="1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</row>
    <row r="1083" ht="18.0" customHeight="1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</row>
    <row r="1084" ht="18.0" customHeight="1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</row>
    <row r="1085" ht="18.0" customHeight="1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</row>
    <row r="1086" ht="18.0" customHeight="1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</row>
    <row r="1087" ht="18.0" customHeight="1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</row>
    <row r="1088" ht="18.0" customHeight="1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</row>
    <row r="1089" ht="18.0" customHeight="1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</row>
    <row r="1090" ht="18.0" customHeight="1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  <c r="AW1090" s="5"/>
      <c r="AX1090" s="5"/>
      <c r="AY1090" s="5"/>
      <c r="AZ1090" s="5"/>
      <c r="BA1090" s="5"/>
    </row>
    <row r="1091" ht="18.0" customHeight="1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</row>
    <row r="1092" ht="18.0" customHeight="1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</row>
    <row r="1093" ht="18.0" customHeight="1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</row>
    <row r="1094" ht="18.0" customHeight="1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</row>
    <row r="1095" ht="18.0" customHeight="1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</row>
    <row r="1096" ht="18.0" customHeight="1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</row>
    <row r="1097" ht="18.0" customHeight="1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</row>
    <row r="1098" ht="18.0" customHeight="1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  <c r="AW1098" s="5"/>
      <c r="AX1098" s="5"/>
      <c r="AY1098" s="5"/>
      <c r="AZ1098" s="5"/>
      <c r="BA1098" s="5"/>
    </row>
    <row r="1099" ht="18.0" customHeight="1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  <c r="AW1099" s="5"/>
      <c r="AX1099" s="5"/>
      <c r="AY1099" s="5"/>
      <c r="AZ1099" s="5"/>
      <c r="BA1099" s="5"/>
    </row>
    <row r="1100" ht="18.0" customHeight="1">
      <c r="A1100" s="5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5"/>
      <c r="AO1100" s="5"/>
      <c r="AP1100" s="5"/>
      <c r="AQ1100" s="5"/>
      <c r="AR1100" s="5"/>
      <c r="AS1100" s="5"/>
      <c r="AT1100" s="5"/>
      <c r="AU1100" s="5"/>
      <c r="AV1100" s="5"/>
      <c r="AW1100" s="5"/>
      <c r="AX1100" s="5"/>
      <c r="AY1100" s="5"/>
      <c r="AZ1100" s="5"/>
      <c r="BA1100" s="5"/>
    </row>
    <row r="1101" ht="18.0" customHeight="1">
      <c r="A1101" s="5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5"/>
      <c r="AO1101" s="5"/>
      <c r="AP1101" s="5"/>
      <c r="AQ1101" s="5"/>
      <c r="AR1101" s="5"/>
      <c r="AS1101" s="5"/>
      <c r="AT1101" s="5"/>
      <c r="AU1101" s="5"/>
      <c r="AV1101" s="5"/>
      <c r="AW1101" s="5"/>
      <c r="AX1101" s="5"/>
      <c r="AY1101" s="5"/>
      <c r="AZ1101" s="5"/>
      <c r="BA1101" s="5"/>
    </row>
    <row r="1102" ht="18.0" customHeight="1">
      <c r="A1102" s="5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5"/>
      <c r="AO1102" s="5"/>
      <c r="AP1102" s="5"/>
      <c r="AQ1102" s="5"/>
      <c r="AR1102" s="5"/>
      <c r="AS1102" s="5"/>
      <c r="AT1102" s="5"/>
      <c r="AU1102" s="5"/>
      <c r="AV1102" s="5"/>
      <c r="AW1102" s="5"/>
      <c r="AX1102" s="5"/>
      <c r="AY1102" s="5"/>
      <c r="AZ1102" s="5"/>
      <c r="BA1102" s="5"/>
    </row>
    <row r="1103" ht="18.0" customHeight="1">
      <c r="A1103" s="5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5"/>
      <c r="AO1103" s="5"/>
      <c r="AP1103" s="5"/>
      <c r="AQ1103" s="5"/>
      <c r="AR1103" s="5"/>
      <c r="AS1103" s="5"/>
      <c r="AT1103" s="5"/>
      <c r="AU1103" s="5"/>
      <c r="AV1103" s="5"/>
      <c r="AW1103" s="5"/>
      <c r="AX1103" s="5"/>
      <c r="AY1103" s="5"/>
      <c r="AZ1103" s="5"/>
      <c r="BA1103" s="5"/>
    </row>
    <row r="1104" ht="18.0" customHeight="1">
      <c r="A1104" s="5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5"/>
      <c r="AO1104" s="5"/>
      <c r="AP1104" s="5"/>
      <c r="AQ1104" s="5"/>
      <c r="AR1104" s="5"/>
      <c r="AS1104" s="5"/>
      <c r="AT1104" s="5"/>
      <c r="AU1104" s="5"/>
      <c r="AV1104" s="5"/>
      <c r="AW1104" s="5"/>
      <c r="AX1104" s="5"/>
      <c r="AY1104" s="5"/>
      <c r="AZ1104" s="5"/>
      <c r="BA1104" s="5"/>
    </row>
    <row r="1105" ht="18.0" customHeight="1">
      <c r="A1105" s="5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5"/>
      <c r="AO1105" s="5"/>
      <c r="AP1105" s="5"/>
      <c r="AQ1105" s="5"/>
      <c r="AR1105" s="5"/>
      <c r="AS1105" s="5"/>
      <c r="AT1105" s="5"/>
      <c r="AU1105" s="5"/>
      <c r="AV1105" s="5"/>
      <c r="AW1105" s="5"/>
      <c r="AX1105" s="5"/>
      <c r="AY1105" s="5"/>
      <c r="AZ1105" s="5"/>
      <c r="BA1105" s="5"/>
    </row>
    <row r="1106" ht="18.0" customHeight="1">
      <c r="A1106" s="5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5"/>
      <c r="AO1106" s="5"/>
      <c r="AP1106" s="5"/>
      <c r="AQ1106" s="5"/>
      <c r="AR1106" s="5"/>
      <c r="AS1106" s="5"/>
      <c r="AT1106" s="5"/>
      <c r="AU1106" s="5"/>
      <c r="AV1106" s="5"/>
      <c r="AW1106" s="5"/>
      <c r="AX1106" s="5"/>
      <c r="AY1106" s="5"/>
      <c r="AZ1106" s="5"/>
      <c r="BA1106" s="5"/>
    </row>
    <row r="1107" ht="18.0" customHeight="1">
      <c r="A1107" s="5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5"/>
      <c r="AO1107" s="5"/>
      <c r="AP1107" s="5"/>
      <c r="AQ1107" s="5"/>
      <c r="AR1107" s="5"/>
      <c r="AS1107" s="5"/>
      <c r="AT1107" s="5"/>
      <c r="AU1107" s="5"/>
      <c r="AV1107" s="5"/>
      <c r="AW1107" s="5"/>
      <c r="AX1107" s="5"/>
      <c r="AY1107" s="5"/>
      <c r="AZ1107" s="5"/>
      <c r="BA1107" s="5"/>
    </row>
    <row r="1108" ht="18.0" customHeight="1">
      <c r="A1108" s="5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5"/>
      <c r="AO1108" s="5"/>
      <c r="AP1108" s="5"/>
      <c r="AQ1108" s="5"/>
      <c r="AR1108" s="5"/>
      <c r="AS1108" s="5"/>
      <c r="AT1108" s="5"/>
      <c r="AU1108" s="5"/>
      <c r="AV1108" s="5"/>
      <c r="AW1108" s="5"/>
      <c r="AX1108" s="5"/>
      <c r="AY1108" s="5"/>
      <c r="AZ1108" s="5"/>
      <c r="BA1108" s="5"/>
    </row>
    <row r="1109" ht="18.0" customHeight="1">
      <c r="A1109" s="5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5"/>
      <c r="AO1109" s="5"/>
      <c r="AP1109" s="5"/>
      <c r="AQ1109" s="5"/>
      <c r="AR1109" s="5"/>
      <c r="AS1109" s="5"/>
      <c r="AT1109" s="5"/>
      <c r="AU1109" s="5"/>
      <c r="AV1109" s="5"/>
      <c r="AW1109" s="5"/>
      <c r="AX1109" s="5"/>
      <c r="AY1109" s="5"/>
      <c r="AZ1109" s="5"/>
      <c r="BA1109" s="5"/>
    </row>
    <row r="1110" ht="18.0" customHeight="1">
      <c r="A1110" s="5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5"/>
      <c r="AO1110" s="5"/>
      <c r="AP1110" s="5"/>
      <c r="AQ1110" s="5"/>
      <c r="AR1110" s="5"/>
      <c r="AS1110" s="5"/>
      <c r="AT1110" s="5"/>
      <c r="AU1110" s="5"/>
      <c r="AV1110" s="5"/>
      <c r="AW1110" s="5"/>
      <c r="AX1110" s="5"/>
      <c r="AY1110" s="5"/>
      <c r="AZ1110" s="5"/>
      <c r="BA1110" s="5"/>
    </row>
    <row r="1111" ht="18.0" customHeight="1">
      <c r="A1111" s="5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/>
      <c r="AM1111" s="5"/>
      <c r="AN1111" s="5"/>
      <c r="AO1111" s="5"/>
      <c r="AP1111" s="5"/>
      <c r="AQ1111" s="5"/>
      <c r="AR1111" s="5"/>
      <c r="AS1111" s="5"/>
      <c r="AT1111" s="5"/>
      <c r="AU1111" s="5"/>
      <c r="AV1111" s="5"/>
      <c r="AW1111" s="5"/>
      <c r="AX1111" s="5"/>
      <c r="AY1111" s="5"/>
      <c r="AZ1111" s="5"/>
      <c r="BA1111" s="5"/>
    </row>
    <row r="1112" ht="18.0" customHeight="1">
      <c r="A1112" s="5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5"/>
      <c r="AO1112" s="5"/>
      <c r="AP1112" s="5"/>
      <c r="AQ1112" s="5"/>
      <c r="AR1112" s="5"/>
      <c r="AS1112" s="5"/>
      <c r="AT1112" s="5"/>
      <c r="AU1112" s="5"/>
      <c r="AV1112" s="5"/>
      <c r="AW1112" s="5"/>
      <c r="AX1112" s="5"/>
      <c r="AY1112" s="5"/>
      <c r="AZ1112" s="5"/>
      <c r="BA1112" s="5"/>
    </row>
    <row r="1113" ht="18.0" customHeight="1">
      <c r="A1113" s="5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5"/>
      <c r="AO1113" s="5"/>
      <c r="AP1113" s="5"/>
      <c r="AQ1113" s="5"/>
      <c r="AR1113" s="5"/>
      <c r="AS1113" s="5"/>
      <c r="AT1113" s="5"/>
      <c r="AU1113" s="5"/>
      <c r="AV1113" s="5"/>
      <c r="AW1113" s="5"/>
      <c r="AX1113" s="5"/>
      <c r="AY1113" s="5"/>
      <c r="AZ1113" s="5"/>
      <c r="BA1113" s="5"/>
    </row>
    <row r="1114" ht="18.0" customHeight="1">
      <c r="A1114" s="5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5"/>
      <c r="AO1114" s="5"/>
      <c r="AP1114" s="5"/>
      <c r="AQ1114" s="5"/>
      <c r="AR1114" s="5"/>
      <c r="AS1114" s="5"/>
      <c r="AT1114" s="5"/>
      <c r="AU1114" s="5"/>
      <c r="AV1114" s="5"/>
      <c r="AW1114" s="5"/>
      <c r="AX1114" s="5"/>
      <c r="AY1114" s="5"/>
      <c r="AZ1114" s="5"/>
      <c r="BA1114" s="5"/>
    </row>
    <row r="1115" ht="18.0" customHeight="1">
      <c r="A1115" s="5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5"/>
      <c r="AO1115" s="5"/>
      <c r="AP1115" s="5"/>
      <c r="AQ1115" s="5"/>
      <c r="AR1115" s="5"/>
      <c r="AS1115" s="5"/>
      <c r="AT1115" s="5"/>
      <c r="AU1115" s="5"/>
      <c r="AV1115" s="5"/>
      <c r="AW1115" s="5"/>
      <c r="AX1115" s="5"/>
      <c r="AY1115" s="5"/>
      <c r="AZ1115" s="5"/>
      <c r="BA1115" s="5"/>
    </row>
    <row r="1116" ht="18.0" customHeight="1">
      <c r="A1116" s="5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5"/>
      <c r="AO1116" s="5"/>
      <c r="AP1116" s="5"/>
      <c r="AQ1116" s="5"/>
      <c r="AR1116" s="5"/>
      <c r="AS1116" s="5"/>
      <c r="AT1116" s="5"/>
      <c r="AU1116" s="5"/>
      <c r="AV1116" s="5"/>
      <c r="AW1116" s="5"/>
      <c r="AX1116" s="5"/>
      <c r="AY1116" s="5"/>
      <c r="AZ1116" s="5"/>
      <c r="BA1116" s="5"/>
    </row>
    <row r="1117" ht="18.0" customHeight="1">
      <c r="A1117" s="5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/>
      <c r="AM1117" s="5"/>
      <c r="AN1117" s="5"/>
      <c r="AO1117" s="5"/>
      <c r="AP1117" s="5"/>
      <c r="AQ1117" s="5"/>
      <c r="AR1117" s="5"/>
      <c r="AS1117" s="5"/>
      <c r="AT1117" s="5"/>
      <c r="AU1117" s="5"/>
      <c r="AV1117" s="5"/>
      <c r="AW1117" s="5"/>
      <c r="AX1117" s="5"/>
      <c r="AY1117" s="5"/>
      <c r="AZ1117" s="5"/>
      <c r="BA1117" s="5"/>
    </row>
    <row r="1118" ht="18.0" customHeight="1">
      <c r="A1118" s="5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5"/>
      <c r="AO1118" s="5"/>
      <c r="AP1118" s="5"/>
      <c r="AQ1118" s="5"/>
      <c r="AR1118" s="5"/>
      <c r="AS1118" s="5"/>
      <c r="AT1118" s="5"/>
      <c r="AU1118" s="5"/>
      <c r="AV1118" s="5"/>
      <c r="AW1118" s="5"/>
      <c r="AX1118" s="5"/>
      <c r="AY1118" s="5"/>
      <c r="AZ1118" s="5"/>
      <c r="BA1118" s="5"/>
    </row>
    <row r="1119" ht="18.0" customHeight="1">
      <c r="A1119" s="5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  <c r="Z1119" s="5"/>
      <c r="AA1119" s="5"/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5"/>
      <c r="AO1119" s="5"/>
      <c r="AP1119" s="5"/>
      <c r="AQ1119" s="5"/>
      <c r="AR1119" s="5"/>
      <c r="AS1119" s="5"/>
      <c r="AT1119" s="5"/>
      <c r="AU1119" s="5"/>
      <c r="AV1119" s="5"/>
      <c r="AW1119" s="5"/>
      <c r="AX1119" s="5"/>
      <c r="AY1119" s="5"/>
      <c r="AZ1119" s="5"/>
      <c r="BA1119" s="5"/>
    </row>
    <row r="1120" ht="18.0" customHeight="1">
      <c r="A1120" s="5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5"/>
      <c r="AO1120" s="5"/>
      <c r="AP1120" s="5"/>
      <c r="AQ1120" s="5"/>
      <c r="AR1120" s="5"/>
      <c r="AS1120" s="5"/>
      <c r="AT1120" s="5"/>
      <c r="AU1120" s="5"/>
      <c r="AV1120" s="5"/>
      <c r="AW1120" s="5"/>
      <c r="AX1120" s="5"/>
      <c r="AY1120" s="5"/>
      <c r="AZ1120" s="5"/>
      <c r="BA1120" s="5"/>
    </row>
    <row r="1121" ht="18.0" customHeight="1">
      <c r="A1121" s="5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5"/>
      <c r="AO1121" s="5"/>
      <c r="AP1121" s="5"/>
      <c r="AQ1121" s="5"/>
      <c r="AR1121" s="5"/>
      <c r="AS1121" s="5"/>
      <c r="AT1121" s="5"/>
      <c r="AU1121" s="5"/>
      <c r="AV1121" s="5"/>
      <c r="AW1121" s="5"/>
      <c r="AX1121" s="5"/>
      <c r="AY1121" s="5"/>
      <c r="AZ1121" s="5"/>
      <c r="BA1121" s="5"/>
    </row>
    <row r="1122" ht="18.0" customHeight="1">
      <c r="A1122" s="5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5"/>
      <c r="AQ1122" s="5"/>
      <c r="AR1122" s="5"/>
      <c r="AS1122" s="5"/>
      <c r="AT1122" s="5"/>
      <c r="AU1122" s="5"/>
      <c r="AV1122" s="5"/>
      <c r="AW1122" s="5"/>
      <c r="AX1122" s="5"/>
      <c r="AY1122" s="5"/>
      <c r="AZ1122" s="5"/>
      <c r="BA1122" s="5"/>
    </row>
    <row r="1123" ht="18.0" customHeight="1">
      <c r="A1123" s="5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5"/>
      <c r="AQ1123" s="5"/>
      <c r="AR1123" s="5"/>
      <c r="AS1123" s="5"/>
      <c r="AT1123" s="5"/>
      <c r="AU1123" s="5"/>
      <c r="AV1123" s="5"/>
      <c r="AW1123" s="5"/>
      <c r="AX1123" s="5"/>
      <c r="AY1123" s="5"/>
      <c r="AZ1123" s="5"/>
      <c r="BA1123" s="5"/>
    </row>
    <row r="1124" ht="18.0" customHeight="1">
      <c r="A1124" s="5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5"/>
      <c r="AM1124" s="5"/>
      <c r="AN1124" s="5"/>
      <c r="AO1124" s="5"/>
      <c r="AP1124" s="5"/>
      <c r="AQ1124" s="5"/>
      <c r="AR1124" s="5"/>
      <c r="AS1124" s="5"/>
      <c r="AT1124" s="5"/>
      <c r="AU1124" s="5"/>
      <c r="AV1124" s="5"/>
      <c r="AW1124" s="5"/>
      <c r="AX1124" s="5"/>
      <c r="AY1124" s="5"/>
      <c r="AZ1124" s="5"/>
      <c r="BA1124" s="5"/>
    </row>
    <row r="1125" ht="18.0" customHeight="1">
      <c r="A1125" s="5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5"/>
      <c r="AQ1125" s="5"/>
      <c r="AR1125" s="5"/>
      <c r="AS1125" s="5"/>
      <c r="AT1125" s="5"/>
      <c r="AU1125" s="5"/>
      <c r="AV1125" s="5"/>
      <c r="AW1125" s="5"/>
      <c r="AX1125" s="5"/>
      <c r="AY1125" s="5"/>
      <c r="AZ1125" s="5"/>
      <c r="BA1125" s="5"/>
    </row>
    <row r="1126" ht="18.0" customHeight="1">
      <c r="A1126" s="5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5"/>
      <c r="AQ1126" s="5"/>
      <c r="AR1126" s="5"/>
      <c r="AS1126" s="5"/>
      <c r="AT1126" s="5"/>
      <c r="AU1126" s="5"/>
      <c r="AV1126" s="5"/>
      <c r="AW1126" s="5"/>
      <c r="AX1126" s="5"/>
      <c r="AY1126" s="5"/>
      <c r="AZ1126" s="5"/>
      <c r="BA1126" s="5"/>
    </row>
    <row r="1127" ht="18.0" customHeight="1">
      <c r="A1127" s="5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5"/>
      <c r="AQ1127" s="5"/>
      <c r="AR1127" s="5"/>
      <c r="AS1127" s="5"/>
      <c r="AT1127" s="5"/>
      <c r="AU1127" s="5"/>
      <c r="AV1127" s="5"/>
      <c r="AW1127" s="5"/>
      <c r="AX1127" s="5"/>
      <c r="AY1127" s="5"/>
      <c r="AZ1127" s="5"/>
      <c r="BA1127" s="5"/>
    </row>
    <row r="1128" ht="18.0" customHeight="1">
      <c r="A1128" s="5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5"/>
      <c r="AQ1128" s="5"/>
      <c r="AR1128" s="5"/>
      <c r="AS1128" s="5"/>
      <c r="AT1128" s="5"/>
      <c r="AU1128" s="5"/>
      <c r="AV1128" s="5"/>
      <c r="AW1128" s="5"/>
      <c r="AX1128" s="5"/>
      <c r="AY1128" s="5"/>
      <c r="AZ1128" s="5"/>
      <c r="BA1128" s="5"/>
    </row>
    <row r="1129" ht="18.0" customHeight="1">
      <c r="A1129" s="5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5"/>
      <c r="AQ1129" s="5"/>
      <c r="AR1129" s="5"/>
      <c r="AS1129" s="5"/>
      <c r="AT1129" s="5"/>
      <c r="AU1129" s="5"/>
      <c r="AV1129" s="5"/>
      <c r="AW1129" s="5"/>
      <c r="AX1129" s="5"/>
      <c r="AY1129" s="5"/>
      <c r="AZ1129" s="5"/>
      <c r="BA1129" s="5"/>
    </row>
    <row r="1130" ht="18.0" customHeight="1">
      <c r="A1130" s="5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/>
      <c r="AM1130" s="5"/>
      <c r="AN1130" s="5"/>
      <c r="AO1130" s="5"/>
      <c r="AP1130" s="5"/>
      <c r="AQ1130" s="5"/>
      <c r="AR1130" s="5"/>
      <c r="AS1130" s="5"/>
      <c r="AT1130" s="5"/>
      <c r="AU1130" s="5"/>
      <c r="AV1130" s="5"/>
      <c r="AW1130" s="5"/>
      <c r="AX1130" s="5"/>
      <c r="AY1130" s="5"/>
      <c r="AZ1130" s="5"/>
      <c r="BA1130" s="5"/>
    </row>
    <row r="1131" ht="18.0" customHeight="1">
      <c r="A1131" s="5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5"/>
      <c r="AQ1131" s="5"/>
      <c r="AR1131" s="5"/>
      <c r="AS1131" s="5"/>
      <c r="AT1131" s="5"/>
      <c r="AU1131" s="5"/>
      <c r="AV1131" s="5"/>
      <c r="AW1131" s="5"/>
      <c r="AX1131" s="5"/>
      <c r="AY1131" s="5"/>
      <c r="AZ1131" s="5"/>
      <c r="BA1131" s="5"/>
    </row>
    <row r="1132" ht="18.0" customHeight="1">
      <c r="A1132" s="5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5"/>
      <c r="AM1132" s="5"/>
      <c r="AN1132" s="5"/>
      <c r="AO1132" s="5"/>
      <c r="AP1132" s="5"/>
      <c r="AQ1132" s="5"/>
      <c r="AR1132" s="5"/>
      <c r="AS1132" s="5"/>
      <c r="AT1132" s="5"/>
      <c r="AU1132" s="5"/>
      <c r="AV1132" s="5"/>
      <c r="AW1132" s="5"/>
      <c r="AX1132" s="5"/>
      <c r="AY1132" s="5"/>
      <c r="AZ1132" s="5"/>
      <c r="BA1132" s="5"/>
    </row>
    <row r="1133" ht="18.0" customHeight="1">
      <c r="A1133" s="5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5"/>
      <c r="AM1133" s="5"/>
      <c r="AN1133" s="5"/>
      <c r="AO1133" s="5"/>
      <c r="AP1133" s="5"/>
      <c r="AQ1133" s="5"/>
      <c r="AR1133" s="5"/>
      <c r="AS1133" s="5"/>
      <c r="AT1133" s="5"/>
      <c r="AU1133" s="5"/>
      <c r="AV1133" s="5"/>
      <c r="AW1133" s="5"/>
      <c r="AX1133" s="5"/>
      <c r="AY1133" s="5"/>
      <c r="AZ1133" s="5"/>
      <c r="BA1133" s="5"/>
    </row>
    <row r="1134" ht="18.0" customHeight="1">
      <c r="A1134" s="5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5"/>
      <c r="AQ1134" s="5"/>
      <c r="AR1134" s="5"/>
      <c r="AS1134" s="5"/>
      <c r="AT1134" s="5"/>
      <c r="AU1134" s="5"/>
      <c r="AV1134" s="5"/>
      <c r="AW1134" s="5"/>
      <c r="AX1134" s="5"/>
      <c r="AY1134" s="5"/>
      <c r="AZ1134" s="5"/>
      <c r="BA1134" s="5"/>
    </row>
    <row r="1135" ht="18.0" customHeight="1">
      <c r="A1135" s="5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5"/>
      <c r="AQ1135" s="5"/>
      <c r="AR1135" s="5"/>
      <c r="AS1135" s="5"/>
      <c r="AT1135" s="5"/>
      <c r="AU1135" s="5"/>
      <c r="AV1135" s="5"/>
      <c r="AW1135" s="5"/>
      <c r="AX1135" s="5"/>
      <c r="AY1135" s="5"/>
      <c r="AZ1135" s="5"/>
      <c r="BA1135" s="5"/>
    </row>
    <row r="1136" ht="18.0" customHeight="1">
      <c r="A1136" s="5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5"/>
      <c r="AM1136" s="5"/>
      <c r="AN1136" s="5"/>
      <c r="AO1136" s="5"/>
      <c r="AP1136" s="5"/>
      <c r="AQ1136" s="5"/>
      <c r="AR1136" s="5"/>
      <c r="AS1136" s="5"/>
      <c r="AT1136" s="5"/>
      <c r="AU1136" s="5"/>
      <c r="AV1136" s="5"/>
      <c r="AW1136" s="5"/>
      <c r="AX1136" s="5"/>
      <c r="AY1136" s="5"/>
      <c r="AZ1136" s="5"/>
      <c r="BA1136" s="5"/>
    </row>
    <row r="1137" ht="18.0" customHeight="1">
      <c r="A1137" s="5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5"/>
      <c r="AM1137" s="5"/>
      <c r="AN1137" s="5"/>
      <c r="AO1137" s="5"/>
      <c r="AP1137" s="5"/>
      <c r="AQ1137" s="5"/>
      <c r="AR1137" s="5"/>
      <c r="AS1137" s="5"/>
      <c r="AT1137" s="5"/>
      <c r="AU1137" s="5"/>
      <c r="AV1137" s="5"/>
      <c r="AW1137" s="5"/>
      <c r="AX1137" s="5"/>
      <c r="AY1137" s="5"/>
      <c r="AZ1137" s="5"/>
      <c r="BA1137" s="5"/>
    </row>
    <row r="1138" ht="18.0" customHeight="1">
      <c r="A1138" s="5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/>
      <c r="AM1138" s="5"/>
      <c r="AN1138" s="5"/>
      <c r="AO1138" s="5"/>
      <c r="AP1138" s="5"/>
      <c r="AQ1138" s="5"/>
      <c r="AR1138" s="5"/>
      <c r="AS1138" s="5"/>
      <c r="AT1138" s="5"/>
      <c r="AU1138" s="5"/>
      <c r="AV1138" s="5"/>
      <c r="AW1138" s="5"/>
      <c r="AX1138" s="5"/>
      <c r="AY1138" s="5"/>
      <c r="AZ1138" s="5"/>
      <c r="BA1138" s="5"/>
    </row>
    <row r="1139" ht="18.0" customHeight="1">
      <c r="A1139" s="5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/>
      <c r="AM1139" s="5"/>
      <c r="AN1139" s="5"/>
      <c r="AO1139" s="5"/>
      <c r="AP1139" s="5"/>
      <c r="AQ1139" s="5"/>
      <c r="AR1139" s="5"/>
      <c r="AS1139" s="5"/>
      <c r="AT1139" s="5"/>
      <c r="AU1139" s="5"/>
      <c r="AV1139" s="5"/>
      <c r="AW1139" s="5"/>
      <c r="AX1139" s="5"/>
      <c r="AY1139" s="5"/>
      <c r="AZ1139" s="5"/>
      <c r="BA1139" s="5"/>
    </row>
    <row r="1140" ht="18.0" customHeight="1">
      <c r="A1140" s="5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5"/>
      <c r="AM1140" s="5"/>
      <c r="AN1140" s="5"/>
      <c r="AO1140" s="5"/>
      <c r="AP1140" s="5"/>
      <c r="AQ1140" s="5"/>
      <c r="AR1140" s="5"/>
      <c r="AS1140" s="5"/>
      <c r="AT1140" s="5"/>
      <c r="AU1140" s="5"/>
      <c r="AV1140" s="5"/>
      <c r="AW1140" s="5"/>
      <c r="AX1140" s="5"/>
      <c r="AY1140" s="5"/>
      <c r="AZ1140" s="5"/>
      <c r="BA1140" s="5"/>
    </row>
    <row r="1141" ht="18.0" customHeight="1">
      <c r="A1141" s="5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5"/>
      <c r="AQ1141" s="5"/>
      <c r="AR1141" s="5"/>
      <c r="AS1141" s="5"/>
      <c r="AT1141" s="5"/>
      <c r="AU1141" s="5"/>
      <c r="AV1141" s="5"/>
      <c r="AW1141" s="5"/>
      <c r="AX1141" s="5"/>
      <c r="AY1141" s="5"/>
      <c r="AZ1141" s="5"/>
      <c r="BA1141" s="5"/>
    </row>
    <row r="1142" ht="18.0" customHeight="1">
      <c r="A1142" s="5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5"/>
      <c r="AM1142" s="5"/>
      <c r="AN1142" s="5"/>
      <c r="AO1142" s="5"/>
      <c r="AP1142" s="5"/>
      <c r="AQ1142" s="5"/>
      <c r="AR1142" s="5"/>
      <c r="AS1142" s="5"/>
      <c r="AT1142" s="5"/>
      <c r="AU1142" s="5"/>
      <c r="AV1142" s="5"/>
      <c r="AW1142" s="5"/>
      <c r="AX1142" s="5"/>
      <c r="AY1142" s="5"/>
      <c r="AZ1142" s="5"/>
      <c r="BA1142" s="5"/>
    </row>
    <row r="1143" ht="18.0" customHeight="1">
      <c r="A1143" s="5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  <c r="AW1143" s="5"/>
      <c r="AX1143" s="5"/>
      <c r="AY1143" s="5"/>
      <c r="AZ1143" s="5"/>
      <c r="BA1143" s="5"/>
    </row>
    <row r="1144" ht="18.0" customHeight="1">
      <c r="A1144" s="5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5"/>
      <c r="AQ1144" s="5"/>
      <c r="AR1144" s="5"/>
      <c r="AS1144" s="5"/>
      <c r="AT1144" s="5"/>
      <c r="AU1144" s="5"/>
      <c r="AV1144" s="5"/>
      <c r="AW1144" s="5"/>
      <c r="AX1144" s="5"/>
      <c r="AY1144" s="5"/>
      <c r="AZ1144" s="5"/>
      <c r="BA1144" s="5"/>
    </row>
    <row r="1145" ht="18.0" customHeight="1">
      <c r="A1145" s="5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5"/>
      <c r="AM1145" s="5"/>
      <c r="AN1145" s="5"/>
      <c r="AO1145" s="5"/>
      <c r="AP1145" s="5"/>
      <c r="AQ1145" s="5"/>
      <c r="AR1145" s="5"/>
      <c r="AS1145" s="5"/>
      <c r="AT1145" s="5"/>
      <c r="AU1145" s="5"/>
      <c r="AV1145" s="5"/>
      <c r="AW1145" s="5"/>
      <c r="AX1145" s="5"/>
      <c r="AY1145" s="5"/>
      <c r="AZ1145" s="5"/>
      <c r="BA1145" s="5"/>
    </row>
    <row r="1146" ht="18.0" customHeight="1">
      <c r="A1146" s="5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5"/>
      <c r="AM1146" s="5"/>
      <c r="AN1146" s="5"/>
      <c r="AO1146" s="5"/>
      <c r="AP1146" s="5"/>
      <c r="AQ1146" s="5"/>
      <c r="AR1146" s="5"/>
      <c r="AS1146" s="5"/>
      <c r="AT1146" s="5"/>
      <c r="AU1146" s="5"/>
      <c r="AV1146" s="5"/>
      <c r="AW1146" s="5"/>
      <c r="AX1146" s="5"/>
      <c r="AY1146" s="5"/>
      <c r="AZ1146" s="5"/>
      <c r="BA1146" s="5"/>
    </row>
    <row r="1147" ht="18.0" customHeight="1">
      <c r="A1147" s="5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5"/>
      <c r="AQ1147" s="5"/>
      <c r="AR1147" s="5"/>
      <c r="AS1147" s="5"/>
      <c r="AT1147" s="5"/>
      <c r="AU1147" s="5"/>
      <c r="AV1147" s="5"/>
      <c r="AW1147" s="5"/>
      <c r="AX1147" s="5"/>
      <c r="AY1147" s="5"/>
      <c r="AZ1147" s="5"/>
      <c r="BA1147" s="5"/>
    </row>
    <row r="1148" ht="18.0" customHeight="1">
      <c r="A1148" s="5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5"/>
      <c r="AQ1148" s="5"/>
      <c r="AR1148" s="5"/>
      <c r="AS1148" s="5"/>
      <c r="AT1148" s="5"/>
      <c r="AU1148" s="5"/>
      <c r="AV1148" s="5"/>
      <c r="AW1148" s="5"/>
      <c r="AX1148" s="5"/>
      <c r="AY1148" s="5"/>
      <c r="AZ1148" s="5"/>
      <c r="BA1148" s="5"/>
    </row>
    <row r="1149" ht="18.0" customHeight="1">
      <c r="A1149" s="5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5"/>
      <c r="AM1149" s="5"/>
      <c r="AN1149" s="5"/>
      <c r="AO1149" s="5"/>
      <c r="AP1149" s="5"/>
      <c r="AQ1149" s="5"/>
      <c r="AR1149" s="5"/>
      <c r="AS1149" s="5"/>
      <c r="AT1149" s="5"/>
      <c r="AU1149" s="5"/>
      <c r="AV1149" s="5"/>
      <c r="AW1149" s="5"/>
      <c r="AX1149" s="5"/>
      <c r="AY1149" s="5"/>
      <c r="AZ1149" s="5"/>
      <c r="BA1149" s="5"/>
    </row>
    <row r="1150" ht="18.0" customHeight="1">
      <c r="A1150" s="5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5"/>
      <c r="AQ1150" s="5"/>
      <c r="AR1150" s="5"/>
      <c r="AS1150" s="5"/>
      <c r="AT1150" s="5"/>
      <c r="AU1150" s="5"/>
      <c r="AV1150" s="5"/>
      <c r="AW1150" s="5"/>
      <c r="AX1150" s="5"/>
      <c r="AY1150" s="5"/>
      <c r="AZ1150" s="5"/>
      <c r="BA1150" s="5"/>
    </row>
    <row r="1151" ht="18.0" customHeight="1">
      <c r="A1151" s="5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5"/>
      <c r="AQ1151" s="5"/>
      <c r="AR1151" s="5"/>
      <c r="AS1151" s="5"/>
      <c r="AT1151" s="5"/>
      <c r="AU1151" s="5"/>
      <c r="AV1151" s="5"/>
      <c r="AW1151" s="5"/>
      <c r="AX1151" s="5"/>
      <c r="AY1151" s="5"/>
      <c r="AZ1151" s="5"/>
      <c r="BA1151" s="5"/>
    </row>
    <row r="1152" ht="18.0" customHeight="1">
      <c r="A1152" s="5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5"/>
      <c r="AQ1152" s="5"/>
      <c r="AR1152" s="5"/>
      <c r="AS1152" s="5"/>
      <c r="AT1152" s="5"/>
      <c r="AU1152" s="5"/>
      <c r="AV1152" s="5"/>
      <c r="AW1152" s="5"/>
      <c r="AX1152" s="5"/>
      <c r="AY1152" s="5"/>
      <c r="AZ1152" s="5"/>
      <c r="BA1152" s="5"/>
    </row>
    <row r="1153" ht="18.0" customHeight="1">
      <c r="A1153" s="5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5"/>
      <c r="AQ1153" s="5"/>
      <c r="AR1153" s="5"/>
      <c r="AS1153" s="5"/>
      <c r="AT1153" s="5"/>
      <c r="AU1153" s="5"/>
      <c r="AV1153" s="5"/>
      <c r="AW1153" s="5"/>
      <c r="AX1153" s="5"/>
      <c r="AY1153" s="5"/>
      <c r="AZ1153" s="5"/>
      <c r="BA1153" s="5"/>
    </row>
    <row r="1154" ht="18.0" customHeight="1">
      <c r="A1154" s="5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5"/>
      <c r="AQ1154" s="5"/>
      <c r="AR1154" s="5"/>
      <c r="AS1154" s="5"/>
      <c r="AT1154" s="5"/>
      <c r="AU1154" s="5"/>
      <c r="AV1154" s="5"/>
      <c r="AW1154" s="5"/>
      <c r="AX1154" s="5"/>
      <c r="AY1154" s="5"/>
      <c r="AZ1154" s="5"/>
      <c r="BA1154" s="5"/>
    </row>
    <row r="1155" ht="18.0" customHeight="1">
      <c r="A1155" s="5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5"/>
      <c r="AQ1155" s="5"/>
      <c r="AR1155" s="5"/>
      <c r="AS1155" s="5"/>
      <c r="AT1155" s="5"/>
      <c r="AU1155" s="5"/>
      <c r="AV1155" s="5"/>
      <c r="AW1155" s="5"/>
      <c r="AX1155" s="5"/>
      <c r="AY1155" s="5"/>
      <c r="AZ1155" s="5"/>
      <c r="BA1155" s="5"/>
    </row>
    <row r="1156" ht="18.0" customHeight="1">
      <c r="A1156" s="5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5"/>
      <c r="AQ1156" s="5"/>
      <c r="AR1156" s="5"/>
      <c r="AS1156" s="5"/>
      <c r="AT1156" s="5"/>
      <c r="AU1156" s="5"/>
      <c r="AV1156" s="5"/>
      <c r="AW1156" s="5"/>
      <c r="AX1156" s="5"/>
      <c r="AY1156" s="5"/>
      <c r="AZ1156" s="5"/>
      <c r="BA1156" s="5"/>
    </row>
    <row r="1157" ht="18.0" customHeight="1">
      <c r="A1157" s="5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5"/>
      <c r="AQ1157" s="5"/>
      <c r="AR1157" s="5"/>
      <c r="AS1157" s="5"/>
      <c r="AT1157" s="5"/>
      <c r="AU1157" s="5"/>
      <c r="AV1157" s="5"/>
      <c r="AW1157" s="5"/>
      <c r="AX1157" s="5"/>
      <c r="AY1157" s="5"/>
      <c r="AZ1157" s="5"/>
      <c r="BA1157" s="5"/>
    </row>
    <row r="1158" ht="18.0" customHeight="1">
      <c r="A1158" s="5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5"/>
      <c r="AQ1158" s="5"/>
      <c r="AR1158" s="5"/>
      <c r="AS1158" s="5"/>
      <c r="AT1158" s="5"/>
      <c r="AU1158" s="5"/>
      <c r="AV1158" s="5"/>
      <c r="AW1158" s="5"/>
      <c r="AX1158" s="5"/>
      <c r="AY1158" s="5"/>
      <c r="AZ1158" s="5"/>
      <c r="BA1158" s="5"/>
    </row>
    <row r="1159" ht="18.0" customHeight="1">
      <c r="A1159" s="5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5"/>
      <c r="AQ1159" s="5"/>
      <c r="AR1159" s="5"/>
      <c r="AS1159" s="5"/>
      <c r="AT1159" s="5"/>
      <c r="AU1159" s="5"/>
      <c r="AV1159" s="5"/>
      <c r="AW1159" s="5"/>
      <c r="AX1159" s="5"/>
      <c r="AY1159" s="5"/>
      <c r="AZ1159" s="5"/>
      <c r="BA1159" s="5"/>
    </row>
    <row r="1160" ht="18.0" customHeight="1">
      <c r="A1160" s="5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5"/>
      <c r="AQ1160" s="5"/>
      <c r="AR1160" s="5"/>
      <c r="AS1160" s="5"/>
      <c r="AT1160" s="5"/>
      <c r="AU1160" s="5"/>
      <c r="AV1160" s="5"/>
      <c r="AW1160" s="5"/>
      <c r="AX1160" s="5"/>
      <c r="AY1160" s="5"/>
      <c r="AZ1160" s="5"/>
      <c r="BA1160" s="5"/>
    </row>
    <row r="1161" ht="18.0" customHeight="1">
      <c r="A1161" s="5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5"/>
      <c r="AQ1161" s="5"/>
      <c r="AR1161" s="5"/>
      <c r="AS1161" s="5"/>
      <c r="AT1161" s="5"/>
      <c r="AU1161" s="5"/>
      <c r="AV1161" s="5"/>
      <c r="AW1161" s="5"/>
      <c r="AX1161" s="5"/>
      <c r="AY1161" s="5"/>
      <c r="AZ1161" s="5"/>
      <c r="BA1161" s="5"/>
    </row>
    <row r="1162" ht="18.0" customHeight="1">
      <c r="A1162" s="5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5"/>
      <c r="AQ1162" s="5"/>
      <c r="AR1162" s="5"/>
      <c r="AS1162" s="5"/>
      <c r="AT1162" s="5"/>
      <c r="AU1162" s="5"/>
      <c r="AV1162" s="5"/>
      <c r="AW1162" s="5"/>
      <c r="AX1162" s="5"/>
      <c r="AY1162" s="5"/>
      <c r="AZ1162" s="5"/>
      <c r="BA1162" s="5"/>
    </row>
    <row r="1163" ht="18.0" customHeight="1">
      <c r="A1163" s="5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5"/>
      <c r="AQ1163" s="5"/>
      <c r="AR1163" s="5"/>
      <c r="AS1163" s="5"/>
      <c r="AT1163" s="5"/>
      <c r="AU1163" s="5"/>
      <c r="AV1163" s="5"/>
      <c r="AW1163" s="5"/>
      <c r="AX1163" s="5"/>
      <c r="AY1163" s="5"/>
      <c r="AZ1163" s="5"/>
      <c r="BA1163" s="5"/>
    </row>
    <row r="1164" ht="18.0" customHeight="1">
      <c r="A1164" s="5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/>
      <c r="AM1164" s="5"/>
      <c r="AN1164" s="5"/>
      <c r="AO1164" s="5"/>
      <c r="AP1164" s="5"/>
      <c r="AQ1164" s="5"/>
      <c r="AR1164" s="5"/>
      <c r="AS1164" s="5"/>
      <c r="AT1164" s="5"/>
      <c r="AU1164" s="5"/>
      <c r="AV1164" s="5"/>
      <c r="AW1164" s="5"/>
      <c r="AX1164" s="5"/>
      <c r="AY1164" s="5"/>
      <c r="AZ1164" s="5"/>
      <c r="BA1164" s="5"/>
    </row>
    <row r="1165" ht="18.0" customHeight="1">
      <c r="A1165" s="5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  <c r="AW1165" s="5"/>
      <c r="AX1165" s="5"/>
      <c r="AY1165" s="5"/>
      <c r="AZ1165" s="5"/>
      <c r="BA1165" s="5"/>
    </row>
    <row r="1166" ht="18.0" customHeight="1">
      <c r="A1166" s="5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5"/>
      <c r="AQ1166" s="5"/>
      <c r="AR1166" s="5"/>
      <c r="AS1166" s="5"/>
      <c r="AT1166" s="5"/>
      <c r="AU1166" s="5"/>
      <c r="AV1166" s="5"/>
      <c r="AW1166" s="5"/>
      <c r="AX1166" s="5"/>
      <c r="AY1166" s="5"/>
      <c r="AZ1166" s="5"/>
      <c r="BA1166" s="5"/>
    </row>
    <row r="1167" ht="18.0" customHeight="1">
      <c r="A1167" s="5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  <c r="AW1167" s="5"/>
      <c r="AX1167" s="5"/>
      <c r="AY1167" s="5"/>
      <c r="AZ1167" s="5"/>
      <c r="BA1167" s="5"/>
    </row>
    <row r="1168" ht="18.0" customHeight="1">
      <c r="A1168" s="5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  <c r="AW1168" s="5"/>
      <c r="AX1168" s="5"/>
      <c r="AY1168" s="5"/>
      <c r="AZ1168" s="5"/>
      <c r="BA1168" s="5"/>
    </row>
    <row r="1169" ht="18.0" customHeight="1">
      <c r="A1169" s="5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  <c r="AW1169" s="5"/>
      <c r="AX1169" s="5"/>
      <c r="AY1169" s="5"/>
      <c r="AZ1169" s="5"/>
      <c r="BA1169" s="5"/>
    </row>
    <row r="1170" ht="18.0" customHeight="1">
      <c r="A1170" s="5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  <c r="AW1170" s="5"/>
      <c r="AX1170" s="5"/>
      <c r="AY1170" s="5"/>
      <c r="AZ1170" s="5"/>
      <c r="BA1170" s="5"/>
    </row>
    <row r="1171" ht="18.0" customHeight="1">
      <c r="A1171" s="5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5"/>
      <c r="AQ1171" s="5"/>
      <c r="AR1171" s="5"/>
      <c r="AS1171" s="5"/>
      <c r="AT1171" s="5"/>
      <c r="AU1171" s="5"/>
      <c r="AV1171" s="5"/>
      <c r="AW1171" s="5"/>
      <c r="AX1171" s="5"/>
      <c r="AY1171" s="5"/>
      <c r="AZ1171" s="5"/>
      <c r="BA1171" s="5"/>
    </row>
    <row r="1172" ht="18.0" customHeight="1">
      <c r="A1172" s="5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  <c r="AW1172" s="5"/>
      <c r="AX1172" s="5"/>
      <c r="AY1172" s="5"/>
      <c r="AZ1172" s="5"/>
      <c r="BA1172" s="5"/>
    </row>
    <row r="1173" ht="18.0" customHeight="1">
      <c r="A1173" s="5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  <c r="AW1173" s="5"/>
      <c r="AX1173" s="5"/>
      <c r="AY1173" s="5"/>
      <c r="AZ1173" s="5"/>
      <c r="BA1173" s="5"/>
    </row>
    <row r="1174" ht="18.0" customHeight="1">
      <c r="A1174" s="5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/>
      <c r="AU1174" s="5"/>
      <c r="AV1174" s="5"/>
      <c r="AW1174" s="5"/>
      <c r="AX1174" s="5"/>
      <c r="AY1174" s="5"/>
      <c r="AZ1174" s="5"/>
      <c r="BA1174" s="5"/>
    </row>
    <row r="1175" ht="18.0" customHeight="1">
      <c r="A1175" s="5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  <c r="AW1175" s="5"/>
      <c r="AX1175" s="5"/>
      <c r="AY1175" s="5"/>
      <c r="AZ1175" s="5"/>
      <c r="BA1175" s="5"/>
    </row>
    <row r="1176" ht="18.0" customHeight="1">
      <c r="A1176" s="5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  <c r="AW1176" s="5"/>
      <c r="AX1176" s="5"/>
      <c r="AY1176" s="5"/>
      <c r="AZ1176" s="5"/>
      <c r="BA1176" s="5"/>
    </row>
    <row r="1177" ht="18.0" customHeight="1">
      <c r="A1177" s="5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  <c r="AW1177" s="5"/>
      <c r="AX1177" s="5"/>
      <c r="AY1177" s="5"/>
      <c r="AZ1177" s="5"/>
      <c r="BA1177" s="5"/>
    </row>
    <row r="1178" ht="18.0" customHeight="1">
      <c r="A1178" s="5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  <c r="AW1178" s="5"/>
      <c r="AX1178" s="5"/>
      <c r="AY1178" s="5"/>
      <c r="AZ1178" s="5"/>
      <c r="BA1178" s="5"/>
    </row>
    <row r="1179" ht="18.0" customHeight="1">
      <c r="A1179" s="5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  <c r="AW1179" s="5"/>
      <c r="AX1179" s="5"/>
      <c r="AY1179" s="5"/>
      <c r="AZ1179" s="5"/>
      <c r="BA1179" s="5"/>
    </row>
    <row r="1180" ht="18.0" customHeight="1">
      <c r="A1180" s="5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  <c r="AW1180" s="5"/>
      <c r="AX1180" s="5"/>
      <c r="AY1180" s="5"/>
      <c r="AZ1180" s="5"/>
      <c r="BA1180" s="5"/>
    </row>
    <row r="1181" ht="18.0" customHeight="1">
      <c r="A1181" s="5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5"/>
      <c r="AQ1181" s="5"/>
      <c r="AR1181" s="5"/>
      <c r="AS1181" s="5"/>
      <c r="AT1181" s="5"/>
      <c r="AU1181" s="5"/>
      <c r="AV1181" s="5"/>
      <c r="AW1181" s="5"/>
      <c r="AX1181" s="5"/>
      <c r="AY1181" s="5"/>
      <c r="AZ1181" s="5"/>
      <c r="BA1181" s="5"/>
    </row>
    <row r="1182" ht="18.0" customHeight="1">
      <c r="A1182" s="5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5"/>
      <c r="AQ1182" s="5"/>
      <c r="AR1182" s="5"/>
      <c r="AS1182" s="5"/>
      <c r="AT1182" s="5"/>
      <c r="AU1182" s="5"/>
      <c r="AV1182" s="5"/>
      <c r="AW1182" s="5"/>
      <c r="AX1182" s="5"/>
      <c r="AY1182" s="5"/>
      <c r="AZ1182" s="5"/>
      <c r="BA1182" s="5"/>
    </row>
    <row r="1183" ht="18.0" customHeight="1">
      <c r="A1183" s="5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5"/>
      <c r="AQ1183" s="5"/>
      <c r="AR1183" s="5"/>
      <c r="AS1183" s="5"/>
      <c r="AT1183" s="5"/>
      <c r="AU1183" s="5"/>
      <c r="AV1183" s="5"/>
      <c r="AW1183" s="5"/>
      <c r="AX1183" s="5"/>
      <c r="AY1183" s="5"/>
      <c r="AZ1183" s="5"/>
      <c r="BA1183" s="5"/>
    </row>
    <row r="1184" ht="18.0" customHeight="1">
      <c r="A1184" s="5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5"/>
      <c r="AQ1184" s="5"/>
      <c r="AR1184" s="5"/>
      <c r="AS1184" s="5"/>
      <c r="AT1184" s="5"/>
      <c r="AU1184" s="5"/>
      <c r="AV1184" s="5"/>
      <c r="AW1184" s="5"/>
      <c r="AX1184" s="5"/>
      <c r="AY1184" s="5"/>
      <c r="AZ1184" s="5"/>
      <c r="BA1184" s="5"/>
    </row>
    <row r="1185" ht="18.0" customHeight="1">
      <c r="A1185" s="5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/>
      <c r="AU1185" s="5"/>
      <c r="AV1185" s="5"/>
      <c r="AW1185" s="5"/>
      <c r="AX1185" s="5"/>
      <c r="AY1185" s="5"/>
      <c r="AZ1185" s="5"/>
      <c r="BA1185" s="5"/>
    </row>
    <row r="1186" ht="18.0" customHeight="1">
      <c r="A1186" s="5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5"/>
      <c r="AQ1186" s="5"/>
      <c r="AR1186" s="5"/>
      <c r="AS1186" s="5"/>
      <c r="AT1186" s="5"/>
      <c r="AU1186" s="5"/>
      <c r="AV1186" s="5"/>
      <c r="AW1186" s="5"/>
      <c r="AX1186" s="5"/>
      <c r="AY1186" s="5"/>
      <c r="AZ1186" s="5"/>
      <c r="BA1186" s="5"/>
    </row>
    <row r="1187" ht="18.0" customHeight="1">
      <c r="A1187" s="5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</row>
    <row r="1188" ht="18.0" customHeight="1">
      <c r="A1188" s="5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5"/>
      <c r="AQ1188" s="5"/>
      <c r="AR1188" s="5"/>
      <c r="AS1188" s="5"/>
      <c r="AT1188" s="5"/>
      <c r="AU1188" s="5"/>
      <c r="AV1188" s="5"/>
      <c r="AW1188" s="5"/>
      <c r="AX1188" s="5"/>
      <c r="AY1188" s="5"/>
      <c r="AZ1188" s="5"/>
      <c r="BA1188" s="5"/>
    </row>
    <row r="1189" ht="18.0" customHeight="1">
      <c r="A1189" s="5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5"/>
      <c r="AQ1189" s="5"/>
      <c r="AR1189" s="5"/>
      <c r="AS1189" s="5"/>
      <c r="AT1189" s="5"/>
      <c r="AU1189" s="5"/>
      <c r="AV1189" s="5"/>
      <c r="AW1189" s="5"/>
      <c r="AX1189" s="5"/>
      <c r="AY1189" s="5"/>
      <c r="AZ1189" s="5"/>
      <c r="BA1189" s="5"/>
    </row>
    <row r="1190" ht="18.0" customHeight="1">
      <c r="A1190" s="5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5"/>
      <c r="AQ1190" s="5"/>
      <c r="AR1190" s="5"/>
      <c r="AS1190" s="5"/>
      <c r="AT1190" s="5"/>
      <c r="AU1190" s="5"/>
      <c r="AV1190" s="5"/>
      <c r="AW1190" s="5"/>
      <c r="AX1190" s="5"/>
      <c r="AY1190" s="5"/>
      <c r="AZ1190" s="5"/>
      <c r="BA1190" s="5"/>
    </row>
    <row r="1191" ht="18.0" customHeight="1">
      <c r="A1191" s="5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5"/>
      <c r="AQ1191" s="5"/>
      <c r="AR1191" s="5"/>
      <c r="AS1191" s="5"/>
      <c r="AT1191" s="5"/>
      <c r="AU1191" s="5"/>
      <c r="AV1191" s="5"/>
      <c r="AW1191" s="5"/>
      <c r="AX1191" s="5"/>
      <c r="AY1191" s="5"/>
      <c r="AZ1191" s="5"/>
      <c r="BA1191" s="5"/>
    </row>
    <row r="1192" ht="18.0" customHeight="1">
      <c r="A1192" s="5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5"/>
      <c r="AQ1192" s="5"/>
      <c r="AR1192" s="5"/>
      <c r="AS1192" s="5"/>
      <c r="AT1192" s="5"/>
      <c r="AU1192" s="5"/>
      <c r="AV1192" s="5"/>
      <c r="AW1192" s="5"/>
      <c r="AX1192" s="5"/>
      <c r="AY1192" s="5"/>
      <c r="AZ1192" s="5"/>
      <c r="BA1192" s="5"/>
    </row>
    <row r="1193" ht="18.0" customHeight="1">
      <c r="A1193" s="5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5"/>
      <c r="AQ1193" s="5"/>
      <c r="AR1193" s="5"/>
      <c r="AS1193" s="5"/>
      <c r="AT1193" s="5"/>
      <c r="AU1193" s="5"/>
      <c r="AV1193" s="5"/>
      <c r="AW1193" s="5"/>
      <c r="AX1193" s="5"/>
      <c r="AY1193" s="5"/>
      <c r="AZ1193" s="5"/>
      <c r="BA1193" s="5"/>
    </row>
    <row r="1194" ht="18.0" customHeight="1">
      <c r="A1194" s="5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5"/>
      <c r="AQ1194" s="5"/>
      <c r="AR1194" s="5"/>
      <c r="AS1194" s="5"/>
      <c r="AT1194" s="5"/>
      <c r="AU1194" s="5"/>
      <c r="AV1194" s="5"/>
      <c r="AW1194" s="5"/>
      <c r="AX1194" s="5"/>
      <c r="AY1194" s="5"/>
      <c r="AZ1194" s="5"/>
      <c r="BA1194" s="5"/>
    </row>
    <row r="1195" ht="18.0" customHeight="1">
      <c r="A1195" s="5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5"/>
      <c r="AQ1195" s="5"/>
      <c r="AR1195" s="5"/>
      <c r="AS1195" s="5"/>
      <c r="AT1195" s="5"/>
      <c r="AU1195" s="5"/>
      <c r="AV1195" s="5"/>
      <c r="AW1195" s="5"/>
      <c r="AX1195" s="5"/>
      <c r="AY1195" s="5"/>
      <c r="AZ1195" s="5"/>
      <c r="BA1195" s="5"/>
    </row>
    <row r="1196" ht="18.0" customHeight="1">
      <c r="A1196" s="5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5"/>
      <c r="AQ1196" s="5"/>
      <c r="AR1196" s="5"/>
      <c r="AS1196" s="5"/>
      <c r="AT1196" s="5"/>
      <c r="AU1196" s="5"/>
      <c r="AV1196" s="5"/>
      <c r="AW1196" s="5"/>
      <c r="AX1196" s="5"/>
      <c r="AY1196" s="5"/>
      <c r="AZ1196" s="5"/>
      <c r="BA1196" s="5"/>
    </row>
    <row r="1197" ht="18.0" customHeight="1">
      <c r="A1197" s="5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</row>
    <row r="1198" ht="18.0" customHeight="1">
      <c r="A1198" s="5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5"/>
      <c r="AQ1198" s="5"/>
      <c r="AR1198" s="5"/>
      <c r="AS1198" s="5"/>
      <c r="AT1198" s="5"/>
      <c r="AU1198" s="5"/>
      <c r="AV1198" s="5"/>
      <c r="AW1198" s="5"/>
      <c r="AX1198" s="5"/>
      <c r="AY1198" s="5"/>
      <c r="AZ1198" s="5"/>
      <c r="BA1198" s="5"/>
    </row>
    <row r="1199" ht="18.0" customHeight="1">
      <c r="A1199" s="5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5"/>
      <c r="AQ1199" s="5"/>
      <c r="AR1199" s="5"/>
      <c r="AS1199" s="5"/>
      <c r="AT1199" s="5"/>
      <c r="AU1199" s="5"/>
      <c r="AV1199" s="5"/>
      <c r="AW1199" s="5"/>
      <c r="AX1199" s="5"/>
      <c r="AY1199" s="5"/>
      <c r="AZ1199" s="5"/>
      <c r="BA1199" s="5"/>
    </row>
    <row r="1200" ht="18.0" customHeight="1">
      <c r="A1200" s="5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5"/>
      <c r="AQ1200" s="5"/>
      <c r="AR1200" s="5"/>
      <c r="AS1200" s="5"/>
      <c r="AT1200" s="5"/>
      <c r="AU1200" s="5"/>
      <c r="AV1200" s="5"/>
      <c r="AW1200" s="5"/>
      <c r="AX1200" s="5"/>
      <c r="AY1200" s="5"/>
      <c r="AZ1200" s="5"/>
      <c r="BA1200" s="5"/>
    </row>
    <row r="1201" ht="18.0" customHeight="1">
      <c r="A1201" s="5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/>
      <c r="AO1201" s="5"/>
      <c r="AP1201" s="5"/>
      <c r="AQ1201" s="5"/>
      <c r="AR1201" s="5"/>
      <c r="AS1201" s="5"/>
      <c r="AT1201" s="5"/>
      <c r="AU1201" s="5"/>
      <c r="AV1201" s="5"/>
      <c r="AW1201" s="5"/>
      <c r="AX1201" s="5"/>
      <c r="AY1201" s="5"/>
      <c r="AZ1201" s="5"/>
      <c r="BA1201" s="5"/>
    </row>
    <row r="1202" ht="18.0" customHeight="1">
      <c r="A1202" s="5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5"/>
      <c r="AQ1202" s="5"/>
      <c r="AR1202" s="5"/>
      <c r="AS1202" s="5"/>
      <c r="AT1202" s="5"/>
      <c r="AU1202" s="5"/>
      <c r="AV1202" s="5"/>
      <c r="AW1202" s="5"/>
      <c r="AX1202" s="5"/>
      <c r="AY1202" s="5"/>
      <c r="AZ1202" s="5"/>
      <c r="BA1202" s="5"/>
    </row>
    <row r="1203" ht="18.0" customHeight="1">
      <c r="A1203" s="5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5"/>
      <c r="AQ1203" s="5"/>
      <c r="AR1203" s="5"/>
      <c r="AS1203" s="5"/>
      <c r="AT1203" s="5"/>
      <c r="AU1203" s="5"/>
      <c r="AV1203" s="5"/>
      <c r="AW1203" s="5"/>
      <c r="AX1203" s="5"/>
      <c r="AY1203" s="5"/>
      <c r="AZ1203" s="5"/>
      <c r="BA1203" s="5"/>
    </row>
    <row r="1204" ht="18.0" customHeight="1">
      <c r="A1204" s="5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5"/>
      <c r="AQ1204" s="5"/>
      <c r="AR1204" s="5"/>
      <c r="AS1204" s="5"/>
      <c r="AT1204" s="5"/>
      <c r="AU1204" s="5"/>
      <c r="AV1204" s="5"/>
      <c r="AW1204" s="5"/>
      <c r="AX1204" s="5"/>
      <c r="AY1204" s="5"/>
      <c r="AZ1204" s="5"/>
      <c r="BA1204" s="5"/>
    </row>
    <row r="1205" ht="18.0" customHeight="1">
      <c r="A1205" s="5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5"/>
      <c r="AQ1205" s="5"/>
      <c r="AR1205" s="5"/>
      <c r="AS1205" s="5"/>
      <c r="AT1205" s="5"/>
      <c r="AU1205" s="5"/>
      <c r="AV1205" s="5"/>
      <c r="AW1205" s="5"/>
      <c r="AX1205" s="5"/>
      <c r="AY1205" s="5"/>
      <c r="AZ1205" s="5"/>
      <c r="BA1205" s="5"/>
    </row>
    <row r="1206" ht="18.0" customHeight="1">
      <c r="A1206" s="5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5"/>
      <c r="AQ1206" s="5"/>
      <c r="AR1206" s="5"/>
      <c r="AS1206" s="5"/>
      <c r="AT1206" s="5"/>
      <c r="AU1206" s="5"/>
      <c r="AV1206" s="5"/>
      <c r="AW1206" s="5"/>
      <c r="AX1206" s="5"/>
      <c r="AY1206" s="5"/>
      <c r="AZ1206" s="5"/>
      <c r="BA1206" s="5"/>
    </row>
    <row r="1207" ht="18.0" customHeight="1">
      <c r="A1207" s="5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5"/>
      <c r="AQ1207" s="5"/>
      <c r="AR1207" s="5"/>
      <c r="AS1207" s="5"/>
      <c r="AT1207" s="5"/>
      <c r="AU1207" s="5"/>
      <c r="AV1207" s="5"/>
      <c r="AW1207" s="5"/>
      <c r="AX1207" s="5"/>
      <c r="AY1207" s="5"/>
      <c r="AZ1207" s="5"/>
      <c r="BA1207" s="5"/>
    </row>
    <row r="1208" ht="18.0" customHeight="1">
      <c r="A1208" s="5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5"/>
      <c r="AQ1208" s="5"/>
      <c r="AR1208" s="5"/>
      <c r="AS1208" s="5"/>
      <c r="AT1208" s="5"/>
      <c r="AU1208" s="5"/>
      <c r="AV1208" s="5"/>
      <c r="AW1208" s="5"/>
      <c r="AX1208" s="5"/>
      <c r="AY1208" s="5"/>
      <c r="AZ1208" s="5"/>
      <c r="BA1208" s="5"/>
    </row>
    <row r="1209" ht="18.0" customHeight="1">
      <c r="A1209" s="5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</row>
    <row r="1210" ht="18.0" customHeight="1">
      <c r="A1210" s="5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5"/>
      <c r="AQ1210" s="5"/>
      <c r="AR1210" s="5"/>
      <c r="AS1210" s="5"/>
      <c r="AT1210" s="5"/>
      <c r="AU1210" s="5"/>
      <c r="AV1210" s="5"/>
      <c r="AW1210" s="5"/>
      <c r="AX1210" s="5"/>
      <c r="AY1210" s="5"/>
      <c r="AZ1210" s="5"/>
      <c r="BA1210" s="5"/>
    </row>
    <row r="1211" ht="18.0" customHeight="1">
      <c r="A1211" s="5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/>
      <c r="AO1211" s="5"/>
      <c r="AP1211" s="5"/>
      <c r="AQ1211" s="5"/>
      <c r="AR1211" s="5"/>
      <c r="AS1211" s="5"/>
      <c r="AT1211" s="5"/>
      <c r="AU1211" s="5"/>
      <c r="AV1211" s="5"/>
      <c r="AW1211" s="5"/>
      <c r="AX1211" s="5"/>
      <c r="AY1211" s="5"/>
      <c r="AZ1211" s="5"/>
      <c r="BA1211" s="5"/>
    </row>
    <row r="1212" ht="18.0" customHeight="1">
      <c r="A1212" s="5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5"/>
      <c r="AQ1212" s="5"/>
      <c r="AR1212" s="5"/>
      <c r="AS1212" s="5"/>
      <c r="AT1212" s="5"/>
      <c r="AU1212" s="5"/>
      <c r="AV1212" s="5"/>
      <c r="AW1212" s="5"/>
      <c r="AX1212" s="5"/>
      <c r="AY1212" s="5"/>
      <c r="AZ1212" s="5"/>
      <c r="BA1212" s="5"/>
    </row>
    <row r="1213" ht="18.0" customHeight="1">
      <c r="A1213" s="5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5"/>
      <c r="AQ1213" s="5"/>
      <c r="AR1213" s="5"/>
      <c r="AS1213" s="5"/>
      <c r="AT1213" s="5"/>
      <c r="AU1213" s="5"/>
      <c r="AV1213" s="5"/>
      <c r="AW1213" s="5"/>
      <c r="AX1213" s="5"/>
      <c r="AY1213" s="5"/>
      <c r="AZ1213" s="5"/>
      <c r="BA1213" s="5"/>
    </row>
    <row r="1214" ht="18.0" customHeight="1">
      <c r="A1214" s="5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5"/>
      <c r="AQ1214" s="5"/>
      <c r="AR1214" s="5"/>
      <c r="AS1214" s="5"/>
      <c r="AT1214" s="5"/>
      <c r="AU1214" s="5"/>
      <c r="AV1214" s="5"/>
      <c r="AW1214" s="5"/>
      <c r="AX1214" s="5"/>
      <c r="AY1214" s="5"/>
      <c r="AZ1214" s="5"/>
      <c r="BA1214" s="5"/>
    </row>
    <row r="1215" ht="18.0" customHeight="1">
      <c r="A1215" s="5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5"/>
      <c r="AQ1215" s="5"/>
      <c r="AR1215" s="5"/>
      <c r="AS1215" s="5"/>
      <c r="AT1215" s="5"/>
      <c r="AU1215" s="5"/>
      <c r="AV1215" s="5"/>
      <c r="AW1215" s="5"/>
      <c r="AX1215" s="5"/>
      <c r="AY1215" s="5"/>
      <c r="AZ1215" s="5"/>
      <c r="BA1215" s="5"/>
    </row>
    <row r="1216" ht="18.0" customHeight="1">
      <c r="A1216" s="5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/>
      <c r="AM1216" s="5"/>
      <c r="AN1216" s="5"/>
      <c r="AO1216" s="5"/>
      <c r="AP1216" s="5"/>
      <c r="AQ1216" s="5"/>
      <c r="AR1216" s="5"/>
      <c r="AS1216" s="5"/>
      <c r="AT1216" s="5"/>
      <c r="AU1216" s="5"/>
      <c r="AV1216" s="5"/>
      <c r="AW1216" s="5"/>
      <c r="AX1216" s="5"/>
      <c r="AY1216" s="5"/>
      <c r="AZ1216" s="5"/>
      <c r="BA1216" s="5"/>
    </row>
    <row r="1217" ht="18.0" customHeight="1">
      <c r="A1217" s="5"/>
      <c r="B1217" s="5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5"/>
      <c r="AQ1217" s="5"/>
      <c r="AR1217" s="5"/>
      <c r="AS1217" s="5"/>
      <c r="AT1217" s="5"/>
      <c r="AU1217" s="5"/>
      <c r="AV1217" s="5"/>
      <c r="AW1217" s="5"/>
      <c r="AX1217" s="5"/>
      <c r="AY1217" s="5"/>
      <c r="AZ1217" s="5"/>
      <c r="BA1217" s="5"/>
    </row>
    <row r="1218" ht="18.0" customHeight="1">
      <c r="A1218" s="5"/>
      <c r="B1218" s="5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5"/>
      <c r="AQ1218" s="5"/>
      <c r="AR1218" s="5"/>
      <c r="AS1218" s="5"/>
      <c r="AT1218" s="5"/>
      <c r="AU1218" s="5"/>
      <c r="AV1218" s="5"/>
      <c r="AW1218" s="5"/>
      <c r="AX1218" s="5"/>
      <c r="AY1218" s="5"/>
      <c r="AZ1218" s="5"/>
      <c r="BA1218" s="5"/>
    </row>
    <row r="1219" ht="18.0" customHeight="1">
      <c r="A1219" s="5"/>
      <c r="B1219" s="5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5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  <c r="AY1219" s="5"/>
      <c r="AZ1219" s="5"/>
      <c r="BA1219" s="5"/>
    </row>
    <row r="1220" ht="18.0" customHeight="1">
      <c r="A1220" s="5"/>
      <c r="B1220" s="5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  <c r="AY1220" s="5"/>
      <c r="AZ1220" s="5"/>
      <c r="BA1220" s="5"/>
    </row>
    <row r="1221" ht="18.0" customHeight="1">
      <c r="A1221" s="5"/>
      <c r="B1221" s="5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5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  <c r="AY1221" s="5"/>
      <c r="AZ1221" s="5"/>
      <c r="BA1221" s="5"/>
    </row>
    <row r="1222" ht="18.0" customHeight="1">
      <c r="A1222" s="5"/>
      <c r="B1222" s="5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5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  <c r="AY1222" s="5"/>
      <c r="AZ1222" s="5"/>
      <c r="BA1222" s="5"/>
    </row>
    <row r="1223" ht="18.0" customHeight="1">
      <c r="A1223" s="5"/>
      <c r="B1223" s="5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  <c r="AY1223" s="5"/>
      <c r="AZ1223" s="5"/>
      <c r="BA1223" s="5"/>
    </row>
    <row r="1224" ht="18.0" customHeight="1">
      <c r="A1224" s="5"/>
      <c r="B1224" s="5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5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  <c r="AY1224" s="5"/>
      <c r="AZ1224" s="5"/>
      <c r="BA1224" s="5"/>
    </row>
    <row r="1225" ht="18.0" customHeight="1">
      <c r="A1225" s="5"/>
      <c r="B1225" s="5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5"/>
      <c r="Y1225" s="5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  <c r="AY1225" s="5"/>
      <c r="AZ1225" s="5"/>
      <c r="BA1225" s="5"/>
    </row>
    <row r="1226" ht="18.0" customHeight="1">
      <c r="A1226" s="5"/>
      <c r="B1226" s="5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  <c r="AY1226" s="5"/>
      <c r="AZ1226" s="5"/>
      <c r="BA1226" s="5"/>
    </row>
    <row r="1227" ht="18.0" customHeight="1">
      <c r="A1227" s="5"/>
      <c r="B1227" s="5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  <c r="AY1227" s="5"/>
      <c r="AZ1227" s="5"/>
      <c r="BA1227" s="5"/>
    </row>
    <row r="1228" ht="18.0" customHeight="1">
      <c r="A1228" s="5"/>
      <c r="B1228" s="5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5"/>
    </row>
    <row r="1229" ht="18.0" customHeight="1">
      <c r="A1229" s="5"/>
      <c r="B1229" s="5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5"/>
      <c r="AR1229" s="5"/>
      <c r="AS1229" s="5"/>
      <c r="AT1229" s="5"/>
      <c r="AU1229" s="5"/>
      <c r="AV1229" s="5"/>
      <c r="AW1229" s="5"/>
      <c r="AX1229" s="5"/>
      <c r="AY1229" s="5"/>
      <c r="AZ1229" s="5"/>
      <c r="BA1229" s="5"/>
    </row>
    <row r="1230" ht="18.0" customHeight="1">
      <c r="A1230" s="5"/>
      <c r="B1230" s="5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  <c r="AY1230" s="5"/>
      <c r="AZ1230" s="5"/>
      <c r="BA1230" s="5"/>
    </row>
    <row r="1231" ht="18.0" customHeight="1">
      <c r="A1231" s="5"/>
      <c r="B1231" s="5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5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  <c r="AY1231" s="5"/>
      <c r="AZ1231" s="5"/>
      <c r="BA1231" s="5"/>
    </row>
    <row r="1232" ht="18.0" customHeight="1">
      <c r="A1232" s="5"/>
      <c r="B1232" s="5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  <c r="AY1232" s="5"/>
      <c r="AZ1232" s="5"/>
      <c r="BA1232" s="5"/>
    </row>
    <row r="1233" ht="18.0" customHeight="1">
      <c r="A1233" s="5"/>
      <c r="B1233" s="5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  <c r="AY1233" s="5"/>
      <c r="AZ1233" s="5"/>
      <c r="BA1233" s="5"/>
    </row>
    <row r="1234" ht="18.0" customHeight="1">
      <c r="A1234" s="5"/>
      <c r="B1234" s="5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/>
      <c r="AM1234" s="5"/>
      <c r="AN1234" s="5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  <c r="AY1234" s="5"/>
      <c r="AZ1234" s="5"/>
      <c r="BA1234" s="5"/>
    </row>
    <row r="1235" ht="18.0" customHeight="1">
      <c r="A1235" s="5"/>
      <c r="B1235" s="5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5"/>
    </row>
    <row r="1236" ht="18.0" customHeight="1">
      <c r="A1236" s="5"/>
      <c r="B1236" s="5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  <c r="AY1236" s="5"/>
      <c r="AZ1236" s="5"/>
      <c r="BA1236" s="5"/>
    </row>
    <row r="1237" ht="18.0" customHeight="1">
      <c r="A1237" s="5"/>
      <c r="B1237" s="5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5"/>
      <c r="AR1237" s="5"/>
      <c r="AS1237" s="5"/>
      <c r="AT1237" s="5"/>
      <c r="AU1237" s="5"/>
      <c r="AV1237" s="5"/>
      <c r="AW1237" s="5"/>
      <c r="AX1237" s="5"/>
      <c r="AY1237" s="5"/>
      <c r="AZ1237" s="5"/>
      <c r="BA1237" s="5"/>
    </row>
    <row r="1238" ht="18.0" customHeight="1">
      <c r="A1238" s="5"/>
      <c r="B1238" s="5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  <c r="AY1238" s="5"/>
      <c r="AZ1238" s="5"/>
      <c r="BA1238" s="5"/>
    </row>
    <row r="1239" ht="18.0" customHeight="1">
      <c r="A1239" s="5"/>
      <c r="B1239" s="5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  <c r="AY1239" s="5"/>
      <c r="AZ1239" s="5"/>
      <c r="BA1239" s="5"/>
    </row>
    <row r="1240" ht="18.0" customHeight="1">
      <c r="A1240" s="5"/>
      <c r="B1240" s="5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  <c r="AY1240" s="5"/>
      <c r="AZ1240" s="5"/>
      <c r="BA1240" s="5"/>
    </row>
    <row r="1241" ht="18.0" customHeight="1">
      <c r="A1241" s="5"/>
      <c r="B1241" s="5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5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5"/>
      <c r="AM1241" s="5"/>
      <c r="AN1241" s="5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  <c r="AY1241" s="5"/>
      <c r="AZ1241" s="5"/>
      <c r="BA1241" s="5"/>
    </row>
    <row r="1242" ht="18.0" customHeight="1">
      <c r="A1242" s="5"/>
      <c r="B1242" s="5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5"/>
      <c r="Y1242" s="5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5"/>
      <c r="AM1242" s="5"/>
      <c r="AN1242" s="5"/>
      <c r="AO1242" s="5"/>
      <c r="AP1242" s="5"/>
      <c r="AQ1242" s="5"/>
      <c r="AR1242" s="5"/>
      <c r="AS1242" s="5"/>
      <c r="AT1242" s="5"/>
      <c r="AU1242" s="5"/>
      <c r="AV1242" s="5"/>
      <c r="AW1242" s="5"/>
      <c r="AX1242" s="5"/>
      <c r="AY1242" s="5"/>
      <c r="AZ1242" s="5"/>
      <c r="BA1242" s="5"/>
    </row>
    <row r="1243" ht="18.0" customHeight="1">
      <c r="A1243" s="5"/>
      <c r="B1243" s="5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5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5"/>
      <c r="AM1243" s="5"/>
      <c r="AN1243" s="5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  <c r="AY1243" s="5"/>
      <c r="AZ1243" s="5"/>
      <c r="BA1243" s="5"/>
    </row>
    <row r="1244" ht="18.0" customHeight="1">
      <c r="A1244" s="5"/>
      <c r="B1244" s="5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5"/>
      <c r="Y1244" s="5"/>
      <c r="Z1244" s="5"/>
      <c r="AA1244" s="5"/>
      <c r="AB1244" s="5"/>
      <c r="AC1244" s="5"/>
      <c r="AD1244" s="5"/>
      <c r="AE1244" s="5"/>
      <c r="AF1244" s="5"/>
      <c r="AG1244" s="5"/>
      <c r="AH1244" s="5"/>
      <c r="AI1244" s="5"/>
      <c r="AJ1244" s="5"/>
      <c r="AK1244" s="5"/>
      <c r="AL1244" s="5"/>
      <c r="AM1244" s="5"/>
      <c r="AN1244" s="5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  <c r="AY1244" s="5"/>
      <c r="AZ1244" s="5"/>
      <c r="BA1244" s="5"/>
    </row>
    <row r="1245" ht="18.0" customHeight="1">
      <c r="A1245" s="5"/>
      <c r="B1245" s="5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5"/>
      <c r="Y1245" s="5"/>
      <c r="Z1245" s="5"/>
      <c r="AA1245" s="5"/>
      <c r="AB1245" s="5"/>
      <c r="AC1245" s="5"/>
      <c r="AD1245" s="5"/>
      <c r="AE1245" s="5"/>
      <c r="AF1245" s="5"/>
      <c r="AG1245" s="5"/>
      <c r="AH1245" s="5"/>
      <c r="AI1245" s="5"/>
      <c r="AJ1245" s="5"/>
      <c r="AK1245" s="5"/>
      <c r="AL1245" s="5"/>
      <c r="AM1245" s="5"/>
      <c r="AN1245" s="5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  <c r="AY1245" s="5"/>
      <c r="AZ1245" s="5"/>
      <c r="BA1245" s="5"/>
    </row>
    <row r="1246" ht="18.0" customHeight="1">
      <c r="A1246" s="5"/>
      <c r="B1246" s="5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5"/>
      <c r="Y1246" s="5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5"/>
    </row>
    <row r="1247" ht="18.0" customHeight="1">
      <c r="A1247" s="5"/>
      <c r="B1247" s="5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5"/>
      <c r="Y1247" s="5"/>
      <c r="Z1247" s="5"/>
      <c r="AA1247" s="5"/>
      <c r="AB1247" s="5"/>
      <c r="AC1247" s="5"/>
      <c r="AD1247" s="5"/>
      <c r="AE1247" s="5"/>
      <c r="AF1247" s="5"/>
      <c r="AG1247" s="5"/>
      <c r="AH1247" s="5"/>
      <c r="AI1247" s="5"/>
      <c r="AJ1247" s="5"/>
      <c r="AK1247" s="5"/>
      <c r="AL1247" s="5"/>
      <c r="AM1247" s="5"/>
      <c r="AN1247" s="5"/>
      <c r="AO1247" s="5"/>
      <c r="AP1247" s="5"/>
      <c r="AQ1247" s="5"/>
      <c r="AR1247" s="5"/>
      <c r="AS1247" s="5"/>
      <c r="AT1247" s="5"/>
      <c r="AU1247" s="5"/>
      <c r="AV1247" s="5"/>
      <c r="AW1247" s="5"/>
      <c r="AX1247" s="5"/>
      <c r="AY1247" s="5"/>
      <c r="AZ1247" s="5"/>
      <c r="BA1247" s="5"/>
    </row>
    <row r="1248" ht="18.0" customHeight="1">
      <c r="A1248" s="5"/>
      <c r="B1248" s="5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5"/>
      <c r="Y1248" s="5"/>
      <c r="Z1248" s="5"/>
      <c r="AA1248" s="5"/>
      <c r="AB1248" s="5"/>
      <c r="AC1248" s="5"/>
      <c r="AD1248" s="5"/>
      <c r="AE1248" s="5"/>
      <c r="AF1248" s="5"/>
      <c r="AG1248" s="5"/>
      <c r="AH1248" s="5"/>
      <c r="AI1248" s="5"/>
      <c r="AJ1248" s="5"/>
      <c r="AK1248" s="5"/>
      <c r="AL1248" s="5"/>
      <c r="AM1248" s="5"/>
      <c r="AN1248" s="5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  <c r="AY1248" s="5"/>
      <c r="AZ1248" s="5"/>
      <c r="BA1248" s="5"/>
    </row>
    <row r="1249" ht="18.0" customHeight="1">
      <c r="A1249" s="5"/>
      <c r="B1249" s="5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5"/>
      <c r="Y1249" s="5"/>
      <c r="Z1249" s="5"/>
      <c r="AA1249" s="5"/>
      <c r="AB1249" s="5"/>
      <c r="AC1249" s="5"/>
      <c r="AD1249" s="5"/>
      <c r="AE1249" s="5"/>
      <c r="AF1249" s="5"/>
      <c r="AG1249" s="5"/>
      <c r="AH1249" s="5"/>
      <c r="AI1249" s="5"/>
      <c r="AJ1249" s="5"/>
      <c r="AK1249" s="5"/>
      <c r="AL1249" s="5"/>
      <c r="AM1249" s="5"/>
      <c r="AN1249" s="5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  <c r="AY1249" s="5"/>
      <c r="AZ1249" s="5"/>
      <c r="BA1249" s="5"/>
    </row>
    <row r="1250" ht="18.0" customHeight="1">
      <c r="A1250" s="5"/>
      <c r="B1250" s="5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  <c r="AL1250" s="5"/>
      <c r="AM1250" s="5"/>
      <c r="AN1250" s="5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  <c r="AY1250" s="5"/>
      <c r="AZ1250" s="5"/>
      <c r="BA1250" s="5"/>
    </row>
    <row r="1251" ht="18.0" customHeight="1">
      <c r="A1251" s="5"/>
      <c r="B1251" s="5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5"/>
      <c r="Y1251" s="5"/>
      <c r="Z1251" s="5"/>
      <c r="AA1251" s="5"/>
      <c r="AB1251" s="5"/>
      <c r="AC1251" s="5"/>
      <c r="AD1251" s="5"/>
      <c r="AE1251" s="5"/>
      <c r="AF1251" s="5"/>
      <c r="AG1251" s="5"/>
      <c r="AH1251" s="5"/>
      <c r="AI1251" s="5"/>
      <c r="AJ1251" s="5"/>
      <c r="AK1251" s="5"/>
      <c r="AL1251" s="5"/>
      <c r="AM1251" s="5"/>
      <c r="AN1251" s="5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  <c r="AY1251" s="5"/>
      <c r="AZ1251" s="5"/>
      <c r="BA1251" s="5"/>
    </row>
    <row r="1252" ht="18.0" customHeight="1">
      <c r="A1252" s="5"/>
      <c r="B1252" s="5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5"/>
      <c r="Y1252" s="5"/>
      <c r="Z1252" s="5"/>
      <c r="AA1252" s="5"/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5"/>
    </row>
    <row r="1253" ht="18.0" customHeight="1">
      <c r="A1253" s="5"/>
      <c r="B1253" s="5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5"/>
      <c r="Y1253" s="5"/>
      <c r="Z1253" s="5"/>
      <c r="AA1253" s="5"/>
      <c r="AB1253" s="5"/>
      <c r="AC1253" s="5"/>
      <c r="AD1253" s="5"/>
      <c r="AE1253" s="5"/>
      <c r="AF1253" s="5"/>
      <c r="AG1253" s="5"/>
      <c r="AH1253" s="5"/>
      <c r="AI1253" s="5"/>
      <c r="AJ1253" s="5"/>
      <c r="AK1253" s="5"/>
      <c r="AL1253" s="5"/>
      <c r="AM1253" s="5"/>
      <c r="AN1253" s="5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  <c r="AY1253" s="5"/>
      <c r="AZ1253" s="5"/>
      <c r="BA1253" s="5"/>
    </row>
    <row r="1254" ht="18.0" customHeight="1">
      <c r="A1254" s="5"/>
      <c r="B1254" s="5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5"/>
      <c r="Y1254" s="5"/>
      <c r="Z1254" s="5"/>
      <c r="AA1254" s="5"/>
      <c r="AB1254" s="5"/>
      <c r="AC1254" s="5"/>
      <c r="AD1254" s="5"/>
      <c r="AE1254" s="5"/>
      <c r="AF1254" s="5"/>
      <c r="AG1254" s="5"/>
      <c r="AH1254" s="5"/>
      <c r="AI1254" s="5"/>
      <c r="AJ1254" s="5"/>
      <c r="AK1254" s="5"/>
      <c r="AL1254" s="5"/>
      <c r="AM1254" s="5"/>
      <c r="AN1254" s="5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  <c r="AY1254" s="5"/>
      <c r="AZ1254" s="5"/>
      <c r="BA1254" s="5"/>
    </row>
    <row r="1255" ht="18.0" customHeight="1">
      <c r="A1255" s="5"/>
      <c r="B1255" s="5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5"/>
      <c r="Y1255" s="5"/>
      <c r="Z1255" s="5"/>
      <c r="AA1255" s="5"/>
      <c r="AB1255" s="5"/>
      <c r="AC1255" s="5"/>
      <c r="AD1255" s="5"/>
      <c r="AE1255" s="5"/>
      <c r="AF1255" s="5"/>
      <c r="AG1255" s="5"/>
      <c r="AH1255" s="5"/>
      <c r="AI1255" s="5"/>
      <c r="AJ1255" s="5"/>
      <c r="AK1255" s="5"/>
      <c r="AL1255" s="5"/>
      <c r="AM1255" s="5"/>
      <c r="AN1255" s="5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  <c r="AY1255" s="5"/>
      <c r="AZ1255" s="5"/>
      <c r="BA1255" s="5"/>
    </row>
    <row r="1256" ht="18.0" customHeight="1">
      <c r="A1256" s="5"/>
      <c r="B1256" s="5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5"/>
      <c r="Y1256" s="5"/>
      <c r="Z1256" s="5"/>
      <c r="AA1256" s="5"/>
      <c r="AB1256" s="5"/>
      <c r="AC1256" s="5"/>
      <c r="AD1256" s="5"/>
      <c r="AE1256" s="5"/>
      <c r="AF1256" s="5"/>
      <c r="AG1256" s="5"/>
      <c r="AH1256" s="5"/>
      <c r="AI1256" s="5"/>
      <c r="AJ1256" s="5"/>
      <c r="AK1256" s="5"/>
      <c r="AL1256" s="5"/>
      <c r="AM1256" s="5"/>
      <c r="AN1256" s="5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  <c r="AY1256" s="5"/>
      <c r="AZ1256" s="5"/>
      <c r="BA1256" s="5"/>
    </row>
    <row r="1257" ht="18.0" customHeight="1">
      <c r="A1257" s="5"/>
      <c r="B1257" s="5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  <c r="Z1257" s="5"/>
      <c r="AA1257" s="5"/>
      <c r="AB1257" s="5"/>
      <c r="AC1257" s="5"/>
      <c r="AD1257" s="5"/>
      <c r="AE1257" s="5"/>
      <c r="AF1257" s="5"/>
      <c r="AG1257" s="5"/>
      <c r="AH1257" s="5"/>
      <c r="AI1257" s="5"/>
      <c r="AJ1257" s="5"/>
      <c r="AK1257" s="5"/>
      <c r="AL1257" s="5"/>
      <c r="AM1257" s="5"/>
      <c r="AN1257" s="5"/>
      <c r="AO1257" s="5"/>
      <c r="AP1257" s="5"/>
      <c r="AQ1257" s="5"/>
      <c r="AR1257" s="5"/>
      <c r="AS1257" s="5"/>
      <c r="AT1257" s="5"/>
      <c r="AU1257" s="5"/>
      <c r="AV1257" s="5"/>
      <c r="AW1257" s="5"/>
      <c r="AX1257" s="5"/>
      <c r="AY1257" s="5"/>
      <c r="AZ1257" s="5"/>
      <c r="BA1257" s="5"/>
    </row>
    <row r="1258" ht="18.0" customHeight="1">
      <c r="A1258" s="5"/>
      <c r="B1258" s="5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5"/>
      <c r="Y1258" s="5"/>
      <c r="Z1258" s="5"/>
      <c r="AA1258" s="5"/>
      <c r="AB1258" s="5"/>
      <c r="AC1258" s="5"/>
      <c r="AD1258" s="5"/>
      <c r="AE1258" s="5"/>
      <c r="AF1258" s="5"/>
      <c r="AG1258" s="5"/>
      <c r="AH1258" s="5"/>
      <c r="AI1258" s="5"/>
      <c r="AJ1258" s="5"/>
      <c r="AK1258" s="5"/>
      <c r="AL1258" s="5"/>
      <c r="AM1258" s="5"/>
      <c r="AN1258" s="5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  <c r="AY1258" s="5"/>
      <c r="AZ1258" s="5"/>
      <c r="BA1258" s="5"/>
    </row>
    <row r="1259" ht="18.0" customHeight="1">
      <c r="A1259" s="5"/>
      <c r="B1259" s="5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5"/>
      <c r="Y1259" s="5"/>
      <c r="Z1259" s="5"/>
      <c r="AA1259" s="5"/>
      <c r="AB1259" s="5"/>
      <c r="AC1259" s="5"/>
      <c r="AD1259" s="5"/>
      <c r="AE1259" s="5"/>
      <c r="AF1259" s="5"/>
      <c r="AG1259" s="5"/>
      <c r="AH1259" s="5"/>
      <c r="AI1259" s="5"/>
      <c r="AJ1259" s="5"/>
      <c r="AK1259" s="5"/>
      <c r="AL1259" s="5"/>
      <c r="AM1259" s="5"/>
      <c r="AN1259" s="5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  <c r="AY1259" s="5"/>
      <c r="AZ1259" s="5"/>
      <c r="BA1259" s="5"/>
    </row>
    <row r="1260" ht="18.0" customHeight="1">
      <c r="A1260" s="5"/>
      <c r="B1260" s="5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5"/>
      <c r="Y1260" s="5"/>
      <c r="Z1260" s="5"/>
      <c r="AA1260" s="5"/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  <c r="AY1260" s="5"/>
      <c r="AZ1260" s="5"/>
      <c r="BA1260" s="5"/>
    </row>
    <row r="1261" ht="18.0" customHeight="1">
      <c r="A1261" s="5"/>
      <c r="B1261" s="5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5"/>
      <c r="Y1261" s="5"/>
      <c r="Z1261" s="5"/>
      <c r="AA1261" s="5"/>
      <c r="AB1261" s="5"/>
      <c r="AC1261" s="5"/>
      <c r="AD1261" s="5"/>
      <c r="AE1261" s="5"/>
      <c r="AF1261" s="5"/>
      <c r="AG1261" s="5"/>
      <c r="AH1261" s="5"/>
      <c r="AI1261" s="5"/>
      <c r="AJ1261" s="5"/>
      <c r="AK1261" s="5"/>
      <c r="AL1261" s="5"/>
      <c r="AM1261" s="5"/>
      <c r="AN1261" s="5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  <c r="AY1261" s="5"/>
      <c r="AZ1261" s="5"/>
      <c r="BA1261" s="5"/>
    </row>
    <row r="1262" ht="18.0" customHeight="1">
      <c r="A1262" s="5"/>
      <c r="B1262" s="5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  <c r="X1262" s="5"/>
      <c r="Y1262" s="5"/>
      <c r="Z1262" s="5"/>
      <c r="AA1262" s="5"/>
      <c r="AB1262" s="5"/>
      <c r="AC1262" s="5"/>
      <c r="AD1262" s="5"/>
      <c r="AE1262" s="5"/>
      <c r="AF1262" s="5"/>
      <c r="AG1262" s="5"/>
      <c r="AH1262" s="5"/>
      <c r="AI1262" s="5"/>
      <c r="AJ1262" s="5"/>
      <c r="AK1262" s="5"/>
      <c r="AL1262" s="5"/>
      <c r="AM1262" s="5"/>
      <c r="AN1262" s="5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  <c r="AY1262" s="5"/>
      <c r="AZ1262" s="5"/>
      <c r="BA1262" s="5"/>
    </row>
    <row r="1263" ht="18.0" customHeight="1">
      <c r="A1263" s="5"/>
      <c r="B1263" s="5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5"/>
      <c r="Y1263" s="5"/>
      <c r="Z1263" s="5"/>
      <c r="AA1263" s="5"/>
      <c r="AB1263" s="5"/>
      <c r="AC1263" s="5"/>
      <c r="AD1263" s="5"/>
      <c r="AE1263" s="5"/>
      <c r="AF1263" s="5"/>
      <c r="AG1263" s="5"/>
      <c r="AH1263" s="5"/>
      <c r="AI1263" s="5"/>
      <c r="AJ1263" s="5"/>
      <c r="AK1263" s="5"/>
      <c r="AL1263" s="5"/>
      <c r="AM1263" s="5"/>
      <c r="AN1263" s="5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  <c r="AY1263" s="5"/>
      <c r="AZ1263" s="5"/>
      <c r="BA1263" s="5"/>
    </row>
    <row r="1264" ht="18.0" customHeight="1">
      <c r="A1264" s="5"/>
      <c r="B1264" s="5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  <c r="X1264" s="5"/>
      <c r="Y1264" s="5"/>
      <c r="Z1264" s="5"/>
      <c r="AA1264" s="5"/>
      <c r="AB1264" s="5"/>
      <c r="AC1264" s="5"/>
      <c r="AD1264" s="5"/>
      <c r="AE1264" s="5"/>
      <c r="AF1264" s="5"/>
      <c r="AG1264" s="5"/>
      <c r="AH1264" s="5"/>
      <c r="AI1264" s="5"/>
      <c r="AJ1264" s="5"/>
      <c r="AK1264" s="5"/>
      <c r="AL1264" s="5"/>
      <c r="AM1264" s="5"/>
      <c r="AN1264" s="5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  <c r="AY1264" s="5"/>
      <c r="AZ1264" s="5"/>
      <c r="BA1264" s="5"/>
    </row>
    <row r="1265" ht="18.0" customHeight="1">
      <c r="A1265" s="5"/>
      <c r="B1265" s="5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5"/>
      <c r="Y1265" s="5"/>
      <c r="Z1265" s="5"/>
      <c r="AA1265" s="5"/>
      <c r="AB1265" s="5"/>
      <c r="AC1265" s="5"/>
      <c r="AD1265" s="5"/>
      <c r="AE1265" s="5"/>
      <c r="AF1265" s="5"/>
      <c r="AG1265" s="5"/>
      <c r="AH1265" s="5"/>
      <c r="AI1265" s="5"/>
      <c r="AJ1265" s="5"/>
      <c r="AK1265" s="5"/>
      <c r="AL1265" s="5"/>
      <c r="AM1265" s="5"/>
      <c r="AN1265" s="5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  <c r="AY1265" s="5"/>
      <c r="AZ1265" s="5"/>
      <c r="BA1265" s="5"/>
    </row>
    <row r="1266" ht="18.0" customHeight="1">
      <c r="A1266" s="5"/>
      <c r="B1266" s="5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5"/>
      <c r="Y1266" s="5"/>
      <c r="Z1266" s="5"/>
      <c r="AA1266" s="5"/>
      <c r="AB1266" s="5"/>
      <c r="AC1266" s="5"/>
      <c r="AD1266" s="5"/>
      <c r="AE1266" s="5"/>
      <c r="AF1266" s="5"/>
      <c r="AG1266" s="5"/>
      <c r="AH1266" s="5"/>
      <c r="AI1266" s="5"/>
      <c r="AJ1266" s="5"/>
      <c r="AK1266" s="5"/>
      <c r="AL1266" s="5"/>
      <c r="AM1266" s="5"/>
      <c r="AN1266" s="5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  <c r="AY1266" s="5"/>
      <c r="AZ1266" s="5"/>
      <c r="BA1266" s="5"/>
    </row>
    <row r="1267" ht="18.0" customHeight="1">
      <c r="A1267" s="5"/>
      <c r="B1267" s="5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  <c r="Z1267" s="5"/>
      <c r="AA1267" s="5"/>
      <c r="AB1267" s="5"/>
      <c r="AC1267" s="5"/>
      <c r="AD1267" s="5"/>
      <c r="AE1267" s="5"/>
      <c r="AF1267" s="5"/>
      <c r="AG1267" s="5"/>
      <c r="AH1267" s="5"/>
      <c r="AI1267" s="5"/>
      <c r="AJ1267" s="5"/>
      <c r="AK1267" s="5"/>
      <c r="AL1267" s="5"/>
      <c r="AM1267" s="5"/>
      <c r="AN1267" s="5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  <c r="AY1267" s="5"/>
      <c r="AZ1267" s="5"/>
      <c r="BA1267" s="5"/>
    </row>
    <row r="1268" ht="18.0" customHeight="1">
      <c r="A1268" s="5"/>
      <c r="B1268" s="5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5"/>
      <c r="Y1268" s="5"/>
      <c r="Z1268" s="5"/>
      <c r="AA1268" s="5"/>
      <c r="AB1268" s="5"/>
      <c r="AC1268" s="5"/>
      <c r="AD1268" s="5"/>
      <c r="AE1268" s="5"/>
      <c r="AF1268" s="5"/>
      <c r="AG1268" s="5"/>
      <c r="AH1268" s="5"/>
      <c r="AI1268" s="5"/>
      <c r="AJ1268" s="5"/>
      <c r="AK1268" s="5"/>
      <c r="AL1268" s="5"/>
      <c r="AM1268" s="5"/>
      <c r="AN1268" s="5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  <c r="AY1268" s="5"/>
      <c r="AZ1268" s="5"/>
      <c r="BA1268" s="5"/>
    </row>
    <row r="1269" ht="18.0" customHeight="1">
      <c r="A1269" s="5"/>
      <c r="B1269" s="5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5"/>
      <c r="Y1269" s="5"/>
      <c r="Z1269" s="5"/>
      <c r="AA1269" s="5"/>
      <c r="AB1269" s="5"/>
      <c r="AC1269" s="5"/>
      <c r="AD1269" s="5"/>
      <c r="AE1269" s="5"/>
      <c r="AF1269" s="5"/>
      <c r="AG1269" s="5"/>
      <c r="AH1269" s="5"/>
      <c r="AI1269" s="5"/>
      <c r="AJ1269" s="5"/>
      <c r="AK1269" s="5"/>
      <c r="AL1269" s="5"/>
      <c r="AM1269" s="5"/>
      <c r="AN1269" s="5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  <c r="AY1269" s="5"/>
      <c r="AZ1269" s="5"/>
      <c r="BA1269" s="5"/>
    </row>
    <row r="1270" ht="18.0" customHeight="1">
      <c r="A1270" s="5"/>
      <c r="B1270" s="5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5"/>
      <c r="Y1270" s="5"/>
      <c r="Z1270" s="5"/>
      <c r="AA1270" s="5"/>
      <c r="AB1270" s="5"/>
      <c r="AC1270" s="5"/>
      <c r="AD1270" s="5"/>
      <c r="AE1270" s="5"/>
      <c r="AF1270" s="5"/>
      <c r="AG1270" s="5"/>
      <c r="AH1270" s="5"/>
      <c r="AI1270" s="5"/>
      <c r="AJ1270" s="5"/>
      <c r="AK1270" s="5"/>
      <c r="AL1270" s="5"/>
      <c r="AM1270" s="5"/>
      <c r="AN1270" s="5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  <c r="AY1270" s="5"/>
      <c r="AZ1270" s="5"/>
      <c r="BA1270" s="5"/>
    </row>
    <row r="1271" ht="18.0" customHeight="1">
      <c r="A1271" s="5"/>
      <c r="B1271" s="5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5"/>
      <c r="Y1271" s="5"/>
      <c r="Z1271" s="5"/>
      <c r="AA1271" s="5"/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  <c r="AY1271" s="5"/>
      <c r="AZ1271" s="5"/>
      <c r="BA1271" s="5"/>
    </row>
    <row r="1272" ht="18.0" customHeight="1">
      <c r="A1272" s="5"/>
      <c r="B1272" s="5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5"/>
      <c r="Y1272" s="5"/>
      <c r="Z1272" s="5"/>
      <c r="AA1272" s="5"/>
      <c r="AB1272" s="5"/>
      <c r="AC1272" s="5"/>
      <c r="AD1272" s="5"/>
      <c r="AE1272" s="5"/>
      <c r="AF1272" s="5"/>
      <c r="AG1272" s="5"/>
      <c r="AH1272" s="5"/>
      <c r="AI1272" s="5"/>
      <c r="AJ1272" s="5"/>
      <c r="AK1272" s="5"/>
      <c r="AL1272" s="5"/>
      <c r="AM1272" s="5"/>
      <c r="AN1272" s="5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  <c r="AY1272" s="5"/>
      <c r="AZ1272" s="5"/>
      <c r="BA1272" s="5"/>
    </row>
    <row r="1273" ht="18.0" customHeight="1">
      <c r="A1273" s="5"/>
      <c r="B1273" s="5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5"/>
      <c r="Y1273" s="5"/>
      <c r="Z1273" s="5"/>
      <c r="AA1273" s="5"/>
      <c r="AB1273" s="5"/>
      <c r="AC1273" s="5"/>
      <c r="AD1273" s="5"/>
      <c r="AE1273" s="5"/>
      <c r="AF1273" s="5"/>
      <c r="AG1273" s="5"/>
      <c r="AH1273" s="5"/>
      <c r="AI1273" s="5"/>
      <c r="AJ1273" s="5"/>
      <c r="AK1273" s="5"/>
      <c r="AL1273" s="5"/>
      <c r="AM1273" s="5"/>
      <c r="AN1273" s="5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  <c r="AY1273" s="5"/>
      <c r="AZ1273" s="5"/>
      <c r="BA1273" s="5"/>
    </row>
    <row r="1274" ht="18.0" customHeight="1">
      <c r="A1274" s="5"/>
      <c r="B1274" s="5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5"/>
      <c r="Y1274" s="5"/>
      <c r="Z1274" s="5"/>
      <c r="AA1274" s="5"/>
      <c r="AB1274" s="5"/>
      <c r="AC1274" s="5"/>
      <c r="AD1274" s="5"/>
      <c r="AE1274" s="5"/>
      <c r="AF1274" s="5"/>
      <c r="AG1274" s="5"/>
      <c r="AH1274" s="5"/>
      <c r="AI1274" s="5"/>
      <c r="AJ1274" s="5"/>
      <c r="AK1274" s="5"/>
      <c r="AL1274" s="5"/>
      <c r="AM1274" s="5"/>
      <c r="AN1274" s="5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  <c r="AY1274" s="5"/>
      <c r="AZ1274" s="5"/>
      <c r="BA1274" s="5"/>
    </row>
    <row r="1275" ht="18.0" customHeight="1">
      <c r="A1275" s="5"/>
      <c r="B1275" s="5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5"/>
      <c r="Y1275" s="5"/>
      <c r="Z1275" s="5"/>
      <c r="AA1275" s="5"/>
      <c r="AB1275" s="5"/>
      <c r="AC1275" s="5"/>
      <c r="AD1275" s="5"/>
      <c r="AE1275" s="5"/>
      <c r="AF1275" s="5"/>
      <c r="AG1275" s="5"/>
      <c r="AH1275" s="5"/>
      <c r="AI1275" s="5"/>
      <c r="AJ1275" s="5"/>
      <c r="AK1275" s="5"/>
      <c r="AL1275" s="5"/>
      <c r="AM1275" s="5"/>
      <c r="AN1275" s="5"/>
      <c r="AO1275" s="5"/>
      <c r="AP1275" s="5"/>
      <c r="AQ1275" s="5"/>
      <c r="AR1275" s="5"/>
      <c r="AS1275" s="5"/>
      <c r="AT1275" s="5"/>
      <c r="AU1275" s="5"/>
      <c r="AV1275" s="5"/>
      <c r="AW1275" s="5"/>
      <c r="AX1275" s="5"/>
      <c r="AY1275" s="5"/>
      <c r="AZ1275" s="5"/>
      <c r="BA1275" s="5"/>
    </row>
    <row r="1276" ht="18.0" customHeight="1">
      <c r="A1276" s="5"/>
      <c r="B1276" s="5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  <c r="X1276" s="5"/>
      <c r="Y1276" s="5"/>
      <c r="Z1276" s="5"/>
      <c r="AA1276" s="5"/>
      <c r="AB1276" s="5"/>
      <c r="AC1276" s="5"/>
      <c r="AD1276" s="5"/>
      <c r="AE1276" s="5"/>
      <c r="AF1276" s="5"/>
      <c r="AG1276" s="5"/>
      <c r="AH1276" s="5"/>
      <c r="AI1276" s="5"/>
      <c r="AJ1276" s="5"/>
      <c r="AK1276" s="5"/>
      <c r="AL1276" s="5"/>
      <c r="AM1276" s="5"/>
      <c r="AN1276" s="5"/>
      <c r="AO1276" s="5"/>
      <c r="AP1276" s="5"/>
      <c r="AQ1276" s="5"/>
      <c r="AR1276" s="5"/>
      <c r="AS1276" s="5"/>
      <c r="AT1276" s="5"/>
      <c r="AU1276" s="5"/>
      <c r="AV1276" s="5"/>
      <c r="AW1276" s="5"/>
      <c r="AX1276" s="5"/>
      <c r="AY1276" s="5"/>
      <c r="AZ1276" s="5"/>
      <c r="BA1276" s="5"/>
    </row>
    <row r="1277" ht="18.0" customHeight="1">
      <c r="A1277" s="5"/>
      <c r="B1277" s="5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5"/>
      <c r="Y1277" s="5"/>
      <c r="Z1277" s="5"/>
      <c r="AA1277" s="5"/>
      <c r="AB1277" s="5"/>
      <c r="AC1277" s="5"/>
      <c r="AD1277" s="5"/>
      <c r="AE1277" s="5"/>
      <c r="AF1277" s="5"/>
      <c r="AG1277" s="5"/>
      <c r="AH1277" s="5"/>
      <c r="AI1277" s="5"/>
      <c r="AJ1277" s="5"/>
      <c r="AK1277" s="5"/>
      <c r="AL1277" s="5"/>
      <c r="AM1277" s="5"/>
      <c r="AN1277" s="5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  <c r="AY1277" s="5"/>
      <c r="AZ1277" s="5"/>
      <c r="BA1277" s="5"/>
    </row>
    <row r="1278" ht="18.0" customHeight="1">
      <c r="A1278" s="5"/>
      <c r="B1278" s="5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5"/>
      <c r="Y1278" s="5"/>
      <c r="Z1278" s="5"/>
      <c r="AA1278" s="5"/>
      <c r="AB1278" s="5"/>
      <c r="AC1278" s="5"/>
      <c r="AD1278" s="5"/>
      <c r="AE1278" s="5"/>
      <c r="AF1278" s="5"/>
      <c r="AG1278" s="5"/>
      <c r="AH1278" s="5"/>
      <c r="AI1278" s="5"/>
      <c r="AJ1278" s="5"/>
      <c r="AK1278" s="5"/>
      <c r="AL1278" s="5"/>
      <c r="AM1278" s="5"/>
      <c r="AN1278" s="5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  <c r="AY1278" s="5"/>
      <c r="AZ1278" s="5"/>
      <c r="BA1278" s="5"/>
    </row>
    <row r="1279" ht="18.0" customHeight="1">
      <c r="A1279" s="5"/>
      <c r="B1279" s="5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5"/>
      <c r="Y1279" s="5"/>
      <c r="Z1279" s="5"/>
      <c r="AA1279" s="5"/>
      <c r="AB1279" s="5"/>
      <c r="AC1279" s="5"/>
      <c r="AD1279" s="5"/>
      <c r="AE1279" s="5"/>
      <c r="AF1279" s="5"/>
      <c r="AG1279" s="5"/>
      <c r="AH1279" s="5"/>
      <c r="AI1279" s="5"/>
      <c r="AJ1279" s="5"/>
      <c r="AK1279" s="5"/>
      <c r="AL1279" s="5"/>
      <c r="AM1279" s="5"/>
      <c r="AN1279" s="5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  <c r="AY1279" s="5"/>
      <c r="AZ1279" s="5"/>
      <c r="BA1279" s="5"/>
    </row>
    <row r="1280" ht="18.0" customHeight="1">
      <c r="A1280" s="5"/>
      <c r="B1280" s="5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5"/>
      <c r="Y1280" s="5"/>
      <c r="Z1280" s="5"/>
      <c r="AA1280" s="5"/>
      <c r="AB1280" s="5"/>
      <c r="AC1280" s="5"/>
      <c r="AD1280" s="5"/>
      <c r="AE1280" s="5"/>
      <c r="AF1280" s="5"/>
      <c r="AG1280" s="5"/>
      <c r="AH1280" s="5"/>
      <c r="AI1280" s="5"/>
      <c r="AJ1280" s="5"/>
      <c r="AK1280" s="5"/>
      <c r="AL1280" s="5"/>
      <c r="AM1280" s="5"/>
      <c r="AN1280" s="5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  <c r="AY1280" s="5"/>
      <c r="AZ1280" s="5"/>
      <c r="BA1280" s="5"/>
    </row>
    <row r="1281" ht="18.0" customHeight="1">
      <c r="A1281" s="5"/>
      <c r="B1281" s="5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5"/>
      <c r="Y1281" s="5"/>
      <c r="Z1281" s="5"/>
      <c r="AA1281" s="5"/>
      <c r="AB1281" s="5"/>
      <c r="AC1281" s="5"/>
      <c r="AD1281" s="5"/>
      <c r="AE1281" s="5"/>
      <c r="AF1281" s="5"/>
      <c r="AG1281" s="5"/>
      <c r="AH1281" s="5"/>
      <c r="AI1281" s="5"/>
      <c r="AJ1281" s="5"/>
      <c r="AK1281" s="5"/>
      <c r="AL1281" s="5"/>
      <c r="AM1281" s="5"/>
      <c r="AN1281" s="5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  <c r="AY1281" s="5"/>
      <c r="AZ1281" s="5"/>
      <c r="BA1281" s="5"/>
    </row>
    <row r="1282" ht="18.0" customHeight="1">
      <c r="A1282" s="5"/>
      <c r="B1282" s="5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5"/>
      <c r="Y1282" s="5"/>
      <c r="Z1282" s="5"/>
      <c r="AA1282" s="5"/>
      <c r="AB1282" s="5"/>
      <c r="AC1282" s="5"/>
      <c r="AD1282" s="5"/>
      <c r="AE1282" s="5"/>
      <c r="AF1282" s="5"/>
      <c r="AG1282" s="5"/>
      <c r="AH1282" s="5"/>
      <c r="AI1282" s="5"/>
      <c r="AJ1282" s="5"/>
      <c r="AK1282" s="5"/>
      <c r="AL1282" s="5"/>
      <c r="AM1282" s="5"/>
      <c r="AN1282" s="5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  <c r="AY1282" s="5"/>
      <c r="AZ1282" s="5"/>
      <c r="BA1282" s="5"/>
    </row>
    <row r="1283" ht="18.0" customHeight="1">
      <c r="A1283" s="5"/>
      <c r="B1283" s="5"/>
      <c r="C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  <c r="Z1283" s="5"/>
      <c r="AA1283" s="5"/>
      <c r="AB1283" s="5"/>
      <c r="AC1283" s="5"/>
      <c r="AD1283" s="5"/>
      <c r="AE1283" s="5"/>
      <c r="AF1283" s="5"/>
      <c r="AG1283" s="5"/>
      <c r="AH1283" s="5"/>
      <c r="AI1283" s="5"/>
      <c r="AJ1283" s="5"/>
      <c r="AK1283" s="5"/>
      <c r="AL1283" s="5"/>
      <c r="AM1283" s="5"/>
      <c r="AN1283" s="5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  <c r="AY1283" s="5"/>
      <c r="AZ1283" s="5"/>
      <c r="BA1283" s="5"/>
    </row>
    <row r="1284" ht="18.0" customHeight="1">
      <c r="A1284" s="5"/>
      <c r="B1284" s="5"/>
      <c r="C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5"/>
      <c r="Y1284" s="5"/>
      <c r="Z1284" s="5"/>
      <c r="AA1284" s="5"/>
      <c r="AB1284" s="5"/>
      <c r="AC1284" s="5"/>
      <c r="AD1284" s="5"/>
      <c r="AE1284" s="5"/>
      <c r="AF1284" s="5"/>
      <c r="AG1284" s="5"/>
      <c r="AH1284" s="5"/>
      <c r="AI1284" s="5"/>
      <c r="AJ1284" s="5"/>
      <c r="AK1284" s="5"/>
      <c r="AL1284" s="5"/>
      <c r="AM1284" s="5"/>
      <c r="AN1284" s="5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  <c r="AY1284" s="5"/>
      <c r="AZ1284" s="5"/>
      <c r="BA1284" s="5"/>
    </row>
    <row r="1285" ht="18.0" customHeight="1">
      <c r="A1285" s="5"/>
      <c r="B1285" s="5"/>
      <c r="C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  <c r="X1285" s="5"/>
      <c r="Y1285" s="5"/>
      <c r="Z1285" s="5"/>
      <c r="AA1285" s="5"/>
      <c r="AB1285" s="5"/>
      <c r="AC1285" s="5"/>
      <c r="AD1285" s="5"/>
      <c r="AE1285" s="5"/>
      <c r="AF1285" s="5"/>
      <c r="AG1285" s="5"/>
      <c r="AH1285" s="5"/>
      <c r="AI1285" s="5"/>
      <c r="AJ1285" s="5"/>
      <c r="AK1285" s="5"/>
      <c r="AL1285" s="5"/>
      <c r="AM1285" s="5"/>
      <c r="AN1285" s="5"/>
      <c r="AO1285" s="5"/>
      <c r="AP1285" s="5"/>
      <c r="AQ1285" s="5"/>
      <c r="AR1285" s="5"/>
      <c r="AS1285" s="5"/>
      <c r="AT1285" s="5"/>
      <c r="AU1285" s="5"/>
      <c r="AV1285" s="5"/>
      <c r="AW1285" s="5"/>
      <c r="AX1285" s="5"/>
      <c r="AY1285" s="5"/>
      <c r="AZ1285" s="5"/>
      <c r="BA1285" s="5"/>
    </row>
    <row r="1286" ht="18.0" customHeight="1">
      <c r="A1286" s="5"/>
      <c r="B1286" s="5"/>
      <c r="C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  <c r="X1286" s="5"/>
      <c r="Y1286" s="5"/>
      <c r="Z1286" s="5"/>
      <c r="AA1286" s="5"/>
      <c r="AB1286" s="5"/>
      <c r="AC1286" s="5"/>
      <c r="AD1286" s="5"/>
      <c r="AE1286" s="5"/>
      <c r="AF1286" s="5"/>
      <c r="AG1286" s="5"/>
      <c r="AH1286" s="5"/>
      <c r="AI1286" s="5"/>
      <c r="AJ1286" s="5"/>
      <c r="AK1286" s="5"/>
      <c r="AL1286" s="5"/>
      <c r="AM1286" s="5"/>
      <c r="AN1286" s="5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  <c r="AY1286" s="5"/>
      <c r="AZ1286" s="5"/>
      <c r="BA1286" s="5"/>
    </row>
    <row r="1287" ht="18.0" customHeight="1">
      <c r="A1287" s="5"/>
      <c r="B1287" s="5"/>
      <c r="C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5"/>
      <c r="W1287" s="5"/>
      <c r="X1287" s="5"/>
      <c r="Y1287" s="5"/>
      <c r="Z1287" s="5"/>
      <c r="AA1287" s="5"/>
      <c r="AB1287" s="5"/>
      <c r="AC1287" s="5"/>
      <c r="AD1287" s="5"/>
      <c r="AE1287" s="5"/>
      <c r="AF1287" s="5"/>
      <c r="AG1287" s="5"/>
      <c r="AH1287" s="5"/>
      <c r="AI1287" s="5"/>
      <c r="AJ1287" s="5"/>
      <c r="AK1287" s="5"/>
      <c r="AL1287" s="5"/>
      <c r="AM1287" s="5"/>
      <c r="AN1287" s="5"/>
      <c r="AO1287" s="5"/>
      <c r="AP1287" s="5"/>
      <c r="AQ1287" s="5"/>
      <c r="AR1287" s="5"/>
      <c r="AS1287" s="5"/>
      <c r="AT1287" s="5"/>
      <c r="AU1287" s="5"/>
      <c r="AV1287" s="5"/>
      <c r="AW1287" s="5"/>
      <c r="AX1287" s="5"/>
      <c r="AY1287" s="5"/>
      <c r="AZ1287" s="5"/>
      <c r="BA1287" s="5"/>
    </row>
    <row r="1288" ht="18.0" customHeight="1">
      <c r="A1288" s="5"/>
      <c r="B1288" s="5"/>
      <c r="C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  <c r="X1288" s="5"/>
      <c r="Y1288" s="5"/>
      <c r="Z1288" s="5"/>
      <c r="AA1288" s="5"/>
      <c r="AB1288" s="5"/>
      <c r="AC1288" s="5"/>
      <c r="AD1288" s="5"/>
      <c r="AE1288" s="5"/>
      <c r="AF1288" s="5"/>
      <c r="AG1288" s="5"/>
      <c r="AH1288" s="5"/>
      <c r="AI1288" s="5"/>
      <c r="AJ1288" s="5"/>
      <c r="AK1288" s="5"/>
      <c r="AL1288" s="5"/>
      <c r="AM1288" s="5"/>
      <c r="AN1288" s="5"/>
      <c r="AO1288" s="5"/>
      <c r="AP1288" s="5"/>
      <c r="AQ1288" s="5"/>
      <c r="AR1288" s="5"/>
      <c r="AS1288" s="5"/>
      <c r="AT1288" s="5"/>
      <c r="AU1288" s="5"/>
      <c r="AV1288" s="5"/>
      <c r="AW1288" s="5"/>
      <c r="AX1288" s="5"/>
      <c r="AY1288" s="5"/>
      <c r="AZ1288" s="5"/>
      <c r="BA1288" s="5"/>
    </row>
    <row r="1289" ht="18.0" customHeight="1">
      <c r="A1289" s="5"/>
      <c r="B1289" s="5"/>
      <c r="C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  <c r="X1289" s="5"/>
      <c r="Y1289" s="5"/>
      <c r="Z1289" s="5"/>
      <c r="AA1289" s="5"/>
      <c r="AB1289" s="5"/>
      <c r="AC1289" s="5"/>
      <c r="AD1289" s="5"/>
      <c r="AE1289" s="5"/>
      <c r="AF1289" s="5"/>
      <c r="AG1289" s="5"/>
      <c r="AH1289" s="5"/>
      <c r="AI1289" s="5"/>
      <c r="AJ1289" s="5"/>
      <c r="AK1289" s="5"/>
      <c r="AL1289" s="5"/>
      <c r="AM1289" s="5"/>
      <c r="AN1289" s="5"/>
      <c r="AO1289" s="5"/>
      <c r="AP1289" s="5"/>
      <c r="AQ1289" s="5"/>
      <c r="AR1289" s="5"/>
      <c r="AS1289" s="5"/>
      <c r="AT1289" s="5"/>
      <c r="AU1289" s="5"/>
      <c r="AV1289" s="5"/>
      <c r="AW1289" s="5"/>
      <c r="AX1289" s="5"/>
      <c r="AY1289" s="5"/>
      <c r="AZ1289" s="5"/>
      <c r="BA1289" s="5"/>
    </row>
    <row r="1290" ht="18.0" customHeight="1">
      <c r="A1290" s="5"/>
      <c r="B1290" s="5"/>
      <c r="C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5"/>
      <c r="Y1290" s="5"/>
      <c r="Z1290" s="5"/>
      <c r="AA1290" s="5"/>
      <c r="AB1290" s="5"/>
      <c r="AC1290" s="5"/>
      <c r="AD1290" s="5"/>
      <c r="AE1290" s="5"/>
      <c r="AF1290" s="5"/>
      <c r="AG1290" s="5"/>
      <c r="AH1290" s="5"/>
      <c r="AI1290" s="5"/>
      <c r="AJ1290" s="5"/>
      <c r="AK1290" s="5"/>
      <c r="AL1290" s="5"/>
      <c r="AM1290" s="5"/>
      <c r="AN1290" s="5"/>
      <c r="AO1290" s="5"/>
      <c r="AP1290" s="5"/>
      <c r="AQ1290" s="5"/>
      <c r="AR1290" s="5"/>
      <c r="AS1290" s="5"/>
      <c r="AT1290" s="5"/>
      <c r="AU1290" s="5"/>
      <c r="AV1290" s="5"/>
      <c r="AW1290" s="5"/>
      <c r="AX1290" s="5"/>
      <c r="AY1290" s="5"/>
      <c r="AZ1290" s="5"/>
      <c r="BA1290" s="5"/>
    </row>
    <row r="1291" ht="18.0" customHeight="1">
      <c r="A1291" s="5"/>
      <c r="B1291" s="5"/>
      <c r="C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5"/>
      <c r="Y1291" s="5"/>
      <c r="Z1291" s="5"/>
      <c r="AA1291" s="5"/>
      <c r="AB1291" s="5"/>
      <c r="AC1291" s="5"/>
      <c r="AD1291" s="5"/>
      <c r="AE1291" s="5"/>
      <c r="AF1291" s="5"/>
      <c r="AG1291" s="5"/>
      <c r="AH1291" s="5"/>
      <c r="AI1291" s="5"/>
      <c r="AJ1291" s="5"/>
      <c r="AK1291" s="5"/>
      <c r="AL1291" s="5"/>
      <c r="AM1291" s="5"/>
      <c r="AN1291" s="5"/>
      <c r="AO1291" s="5"/>
      <c r="AP1291" s="5"/>
      <c r="AQ1291" s="5"/>
      <c r="AR1291" s="5"/>
      <c r="AS1291" s="5"/>
      <c r="AT1291" s="5"/>
      <c r="AU1291" s="5"/>
      <c r="AV1291" s="5"/>
      <c r="AW1291" s="5"/>
      <c r="AX1291" s="5"/>
      <c r="AY1291" s="5"/>
      <c r="AZ1291" s="5"/>
      <c r="BA1291" s="5"/>
    </row>
    <row r="1292" ht="18.0" customHeight="1">
      <c r="A1292" s="5"/>
      <c r="B1292" s="5"/>
      <c r="C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  <c r="X1292" s="5"/>
      <c r="Y1292" s="5"/>
      <c r="Z1292" s="5"/>
      <c r="AA1292" s="5"/>
      <c r="AB1292" s="5"/>
      <c r="AC1292" s="5"/>
      <c r="AD1292" s="5"/>
      <c r="AE1292" s="5"/>
      <c r="AF1292" s="5"/>
      <c r="AG1292" s="5"/>
      <c r="AH1292" s="5"/>
      <c r="AI1292" s="5"/>
      <c r="AJ1292" s="5"/>
      <c r="AK1292" s="5"/>
      <c r="AL1292" s="5"/>
      <c r="AM1292" s="5"/>
      <c r="AN1292" s="5"/>
      <c r="AO1292" s="5"/>
      <c r="AP1292" s="5"/>
      <c r="AQ1292" s="5"/>
      <c r="AR1292" s="5"/>
      <c r="AS1292" s="5"/>
      <c r="AT1292" s="5"/>
      <c r="AU1292" s="5"/>
      <c r="AV1292" s="5"/>
      <c r="AW1292" s="5"/>
      <c r="AX1292" s="5"/>
      <c r="AY1292" s="5"/>
      <c r="AZ1292" s="5"/>
      <c r="BA1292" s="5"/>
    </row>
    <row r="1293" ht="18.0" customHeight="1">
      <c r="A1293" s="5"/>
      <c r="B1293" s="5"/>
      <c r="C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  <c r="X1293" s="5"/>
      <c r="Y1293" s="5"/>
      <c r="Z1293" s="5"/>
      <c r="AA1293" s="5"/>
      <c r="AB1293" s="5"/>
      <c r="AC1293" s="5"/>
      <c r="AD1293" s="5"/>
      <c r="AE1293" s="5"/>
      <c r="AF1293" s="5"/>
      <c r="AG1293" s="5"/>
      <c r="AH1293" s="5"/>
      <c r="AI1293" s="5"/>
      <c r="AJ1293" s="5"/>
      <c r="AK1293" s="5"/>
      <c r="AL1293" s="5"/>
      <c r="AM1293" s="5"/>
      <c r="AN1293" s="5"/>
      <c r="AO1293" s="5"/>
      <c r="AP1293" s="5"/>
      <c r="AQ1293" s="5"/>
      <c r="AR1293" s="5"/>
      <c r="AS1293" s="5"/>
      <c r="AT1293" s="5"/>
      <c r="AU1293" s="5"/>
      <c r="AV1293" s="5"/>
      <c r="AW1293" s="5"/>
      <c r="AX1293" s="5"/>
      <c r="AY1293" s="5"/>
      <c r="AZ1293" s="5"/>
      <c r="BA1293" s="5"/>
    </row>
    <row r="1294" ht="18.0" customHeight="1">
      <c r="A1294" s="5"/>
      <c r="B1294" s="5"/>
      <c r="C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5"/>
      <c r="Y1294" s="5"/>
      <c r="Z1294" s="5"/>
      <c r="AA1294" s="5"/>
      <c r="AB1294" s="5"/>
      <c r="AC1294" s="5"/>
      <c r="AD1294" s="5"/>
      <c r="AE1294" s="5"/>
      <c r="AF1294" s="5"/>
      <c r="AG1294" s="5"/>
      <c r="AH1294" s="5"/>
      <c r="AI1294" s="5"/>
      <c r="AJ1294" s="5"/>
      <c r="AK1294" s="5"/>
      <c r="AL1294" s="5"/>
      <c r="AM1294" s="5"/>
      <c r="AN1294" s="5"/>
      <c r="AO1294" s="5"/>
      <c r="AP1294" s="5"/>
      <c r="AQ1294" s="5"/>
      <c r="AR1294" s="5"/>
      <c r="AS1294" s="5"/>
      <c r="AT1294" s="5"/>
      <c r="AU1294" s="5"/>
      <c r="AV1294" s="5"/>
      <c r="AW1294" s="5"/>
      <c r="AX1294" s="5"/>
      <c r="AY1294" s="5"/>
      <c r="AZ1294" s="5"/>
      <c r="BA1294" s="5"/>
    </row>
    <row r="1295" ht="18.0" customHeight="1">
      <c r="A1295" s="5"/>
      <c r="B1295" s="5"/>
      <c r="C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  <c r="X1295" s="5"/>
      <c r="Y1295" s="5"/>
      <c r="Z1295" s="5"/>
      <c r="AA1295" s="5"/>
      <c r="AB1295" s="5"/>
      <c r="AC1295" s="5"/>
      <c r="AD1295" s="5"/>
      <c r="AE1295" s="5"/>
      <c r="AF1295" s="5"/>
      <c r="AG1295" s="5"/>
      <c r="AH1295" s="5"/>
      <c r="AI1295" s="5"/>
      <c r="AJ1295" s="5"/>
      <c r="AK1295" s="5"/>
      <c r="AL1295" s="5"/>
      <c r="AM1295" s="5"/>
      <c r="AN1295" s="5"/>
      <c r="AO1295" s="5"/>
      <c r="AP1295" s="5"/>
      <c r="AQ1295" s="5"/>
      <c r="AR1295" s="5"/>
      <c r="AS1295" s="5"/>
      <c r="AT1295" s="5"/>
      <c r="AU1295" s="5"/>
      <c r="AV1295" s="5"/>
      <c r="AW1295" s="5"/>
      <c r="AX1295" s="5"/>
      <c r="AY1295" s="5"/>
      <c r="AZ1295" s="5"/>
      <c r="BA1295" s="5"/>
    </row>
  </sheetData>
  <autoFilter ref="$B$6:$AA$291"/>
  <mergeCells count="4">
    <mergeCell ref="B2:O3"/>
    <mergeCell ref="AC2:AK3"/>
    <mergeCell ref="B5:AA5"/>
    <mergeCell ref="AC5:AK5"/>
  </mergeCells>
  <conditionalFormatting sqref="AE4:AK4">
    <cfRule type="cellIs" dxfId="0" priority="1" operator="greaterThan">
      <formula>0</formula>
    </cfRule>
  </conditionalFormatting>
  <conditionalFormatting sqref="AE4:AK4">
    <cfRule type="cellIs" dxfId="1" priority="2" operator="lessThan">
      <formula>0</formula>
    </cfRule>
  </conditionalFormatting>
  <conditionalFormatting sqref="O7:O337">
    <cfRule type="containsText" dxfId="2" priority="3" operator="containsText" text="Open">
      <formula>NOT(ISERROR(SEARCH(("Open"),(O7))))</formula>
    </cfRule>
  </conditionalFormatting>
  <conditionalFormatting sqref="O7:O337">
    <cfRule type="containsText" dxfId="3" priority="4" operator="containsText" text="Closed">
      <formula>NOT(ISERROR(SEARCH(("Closed"),(O7))))</formula>
    </cfRule>
  </conditionalFormatting>
  <conditionalFormatting sqref="O7:O337">
    <cfRule type="containsText" dxfId="3" priority="5" operator="containsText" text="Expired">
      <formula>NOT(ISERROR(SEARCH(("Expired"),(O7))))</formula>
    </cfRule>
  </conditionalFormatting>
  <conditionalFormatting sqref="O7:O337">
    <cfRule type="containsText" dxfId="4" priority="6" operator="containsText" text="assigned">
      <formula>NOT(ISERROR(SEARCH(("assigned"),(O7))))</formula>
    </cfRule>
  </conditionalFormatting>
  <conditionalFormatting sqref="O7:O337">
    <cfRule type="containsText" dxfId="4" priority="7" operator="containsText" text="Rolled">
      <formula>NOT(ISERROR(SEARCH(("Rolled"),(O7))))</formula>
    </cfRule>
  </conditionalFormatting>
  <conditionalFormatting sqref="K64">
    <cfRule type="cellIs" dxfId="2" priority="8" operator="lessThan">
      <formula>0</formula>
    </cfRule>
  </conditionalFormatting>
  <conditionalFormatting sqref="L7:L297 L299:L302 L304:L305 L307 L309 L311:L314">
    <cfRule type="cellIs" dxfId="3" priority="9" operator="greaterThan">
      <formula>"5%"</formula>
    </cfRule>
  </conditionalFormatting>
  <conditionalFormatting sqref="L7:L297 L299:L302 L304:L305 L307 L309 L311:L314">
    <cfRule type="cellIs" dxfId="2" priority="10" operator="lessThan">
      <formula>0</formula>
    </cfRule>
  </conditionalFormatting>
  <conditionalFormatting sqref="L7:L297 L299:L302 L304:L305 L307 L309 L311:L314">
    <cfRule type="cellIs" dxfId="5" priority="11" operator="between">
      <formula>"2%"</formula>
      <formula>"5%"</formula>
    </cfRule>
  </conditionalFormatting>
  <conditionalFormatting sqref="L7:L297 L299:L302 L304:L305 L307 L309 L311:L314">
    <cfRule type="cellIs" dxfId="6" priority="12" operator="lessThan">
      <formula>"2%"</formula>
    </cfRule>
  </conditionalFormatting>
  <conditionalFormatting sqref="Z1:Z1295">
    <cfRule type="colorScale" priority="13">
      <colorScale>
        <cfvo type="min"/>
        <cfvo type="max"/>
        <color rgb="FFE67C73"/>
        <color rgb="FFFFFFFF"/>
      </colorScale>
    </cfRule>
  </conditionalFormatting>
  <dataValidations>
    <dataValidation type="list" allowBlank="1" sqref="O7:O336">
      <formula1>Sheet1!$A$1:$A$6</formula1>
    </dataValidation>
  </dataValidations>
  <hyperlinks>
    <hyperlink r:id="rId1" ref="B1"/>
    <hyperlink r:id="rId2" ref="H1"/>
    <hyperlink r:id="rId3" ref="B339"/>
    <hyperlink r:id="rId4" ref="H339"/>
  </hyperlinks>
  <printOptions/>
  <pageMargins bottom="0.75" footer="0.0" header="0.0" left="0.7" right="0.7" top="0.75"/>
  <pageSetup orientation="portrait"/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1.22" defaultRowHeight="15.0"/>
  <sheetData>
    <row r="1">
      <c r="A1" s="358"/>
      <c r="B1" s="358" t="s">
        <v>116</v>
      </c>
    </row>
    <row r="2">
      <c r="A2" s="359" t="s">
        <v>89</v>
      </c>
      <c r="B2" s="360">
        <v>325.0</v>
      </c>
    </row>
    <row r="3">
      <c r="A3" s="359" t="s">
        <v>87</v>
      </c>
      <c r="B3" s="360">
        <v>1090.0</v>
      </c>
    </row>
    <row r="4">
      <c r="A4" s="359" t="s">
        <v>85</v>
      </c>
      <c r="B4" s="360">
        <v>1970.0</v>
      </c>
    </row>
    <row r="5">
      <c r="A5" s="359" t="s">
        <v>76</v>
      </c>
      <c r="B5" s="360">
        <v>4608.0</v>
      </c>
    </row>
    <row r="6">
      <c r="A6" s="359" t="s">
        <v>100</v>
      </c>
      <c r="B6" s="360">
        <v>1398.0</v>
      </c>
    </row>
    <row r="7">
      <c r="A7" s="359" t="s">
        <v>103</v>
      </c>
      <c r="B7" s="360">
        <v>130.0</v>
      </c>
    </row>
    <row r="8">
      <c r="A8" s="359" t="s">
        <v>96</v>
      </c>
      <c r="B8" s="360">
        <v>45.0</v>
      </c>
    </row>
    <row r="9">
      <c r="A9" s="359" t="s">
        <v>84</v>
      </c>
      <c r="B9" s="360">
        <v>687.0</v>
      </c>
    </row>
    <row r="10">
      <c r="A10" s="359" t="s">
        <v>80</v>
      </c>
      <c r="B10" s="360">
        <v>338.0</v>
      </c>
    </row>
    <row r="11">
      <c r="A11" s="359" t="s">
        <v>93</v>
      </c>
      <c r="B11" s="360">
        <v>72.0</v>
      </c>
    </row>
    <row r="12">
      <c r="A12" s="359" t="s">
        <v>46</v>
      </c>
      <c r="B12" s="360">
        <v>60.0</v>
      </c>
    </row>
    <row r="13">
      <c r="A13" s="359" t="s">
        <v>77</v>
      </c>
      <c r="B13" s="360">
        <v>5550.0</v>
      </c>
    </row>
    <row r="14">
      <c r="A14" s="359" t="s">
        <v>81</v>
      </c>
      <c r="B14" s="360">
        <v>410.0</v>
      </c>
    </row>
    <row r="15">
      <c r="A15" s="359" t="s">
        <v>79</v>
      </c>
      <c r="B15" s="360">
        <v>1886.0</v>
      </c>
    </row>
    <row r="16">
      <c r="A16" s="359" t="s">
        <v>92</v>
      </c>
      <c r="B16" s="360">
        <v>216.0</v>
      </c>
    </row>
    <row r="17">
      <c r="A17" s="359" t="s">
        <v>101</v>
      </c>
      <c r="B17" s="360">
        <v>1025.0</v>
      </c>
    </row>
    <row r="18">
      <c r="A18" s="359" t="s">
        <v>47</v>
      </c>
      <c r="B18" s="360">
        <v>195.0</v>
      </c>
    </row>
    <row r="19">
      <c r="A19" s="359" t="s">
        <v>97</v>
      </c>
      <c r="B19" s="360">
        <v>125.0</v>
      </c>
    </row>
    <row r="20">
      <c r="A20" s="359" t="s">
        <v>1</v>
      </c>
      <c r="B20" s="360">
        <v>52.0</v>
      </c>
    </row>
    <row r="21">
      <c r="A21" s="359" t="s">
        <v>57</v>
      </c>
      <c r="B21" s="358">
        <v>0.0</v>
      </c>
    </row>
    <row r="22">
      <c r="A22" s="359" t="s">
        <v>88</v>
      </c>
      <c r="B22" s="360">
        <v>6521.0</v>
      </c>
    </row>
    <row r="23">
      <c r="A23" s="359" t="s">
        <v>99</v>
      </c>
      <c r="B23" s="360">
        <v>11570.0</v>
      </c>
    </row>
    <row r="24">
      <c r="A24" s="359" t="s">
        <v>78</v>
      </c>
      <c r="B24" s="360">
        <v>23686.0</v>
      </c>
    </row>
    <row r="25">
      <c r="A25" s="359" t="s">
        <v>102</v>
      </c>
      <c r="B25" s="360">
        <v>200.0</v>
      </c>
    </row>
    <row r="26">
      <c r="A26" s="359" t="s">
        <v>44</v>
      </c>
      <c r="B26" s="360">
        <v>301.0</v>
      </c>
    </row>
    <row r="27">
      <c r="A27" s="358" t="s">
        <v>117</v>
      </c>
      <c r="B27" s="358">
        <v>62460.0</v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DD7EE"/>
    <pageSetUpPr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1.22" defaultRowHeight="15.0" outlineLevelRow="1"/>
  <cols>
    <col customWidth="1" min="1" max="1" width="1.0"/>
    <col customWidth="1" min="2" max="2" width="9.33"/>
    <col customWidth="1" min="3" max="3" width="8.67"/>
    <col customWidth="1" min="4" max="4" width="7.44"/>
    <col customWidth="1" min="5" max="5" width="6.67"/>
    <col customWidth="1" min="6" max="6" width="6.11"/>
    <col customWidth="1" min="7" max="7" width="9.22"/>
    <col customWidth="1" min="8" max="8" width="8.78"/>
    <col customWidth="1" min="9" max="9" width="7.33"/>
    <col customWidth="1" min="10" max="10" width="10.22"/>
    <col customWidth="1" min="11" max="11" width="6.44"/>
    <col customWidth="1" min="12" max="12" width="9.22"/>
    <col customWidth="1" min="13" max="13" width="12.11"/>
    <col customWidth="1" min="14" max="14" width="7.67"/>
    <col customWidth="1" min="15" max="15" width="8.22"/>
    <col customWidth="1" min="16" max="17" width="6.33"/>
    <col customWidth="1" min="18" max="18" width="8.56"/>
    <col customWidth="1" min="19" max="19" width="6.44"/>
    <col customWidth="1" min="20" max="20" width="6.56"/>
    <col customWidth="1" hidden="1" min="21" max="21" width="5.44"/>
    <col customWidth="1" hidden="1" min="22" max="22" width="7.67"/>
    <col customWidth="1" min="23" max="23" width="8.78"/>
    <col customWidth="1" min="24" max="24" width="9.33"/>
    <col customWidth="1" min="25" max="25" width="1.78"/>
    <col customWidth="1" min="26" max="26" width="9.56"/>
    <col customWidth="1" min="27" max="27" width="7.33"/>
    <col customWidth="1" min="28" max="28" width="7.11"/>
    <col customWidth="1" min="29" max="29" width="5.89"/>
    <col customWidth="1" min="30" max="31" width="7.22"/>
    <col customWidth="1" min="32" max="32" width="9.22"/>
    <col customWidth="1" min="33" max="34" width="7.22"/>
    <col customWidth="1" min="35" max="35" width="2.56"/>
    <col customWidth="1" min="36" max="36" width="8.0"/>
    <col customWidth="1" min="37" max="50" width="11.22"/>
  </cols>
  <sheetData>
    <row r="1" ht="15.0" customHeight="1">
      <c r="A1" s="1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</row>
    <row r="2" ht="18.0" customHeight="1">
      <c r="A2" s="6"/>
      <c r="B2" s="156" t="s">
        <v>118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2"/>
      <c r="N2" s="13"/>
      <c r="O2" s="157" t="s">
        <v>51</v>
      </c>
      <c r="P2" s="158"/>
      <c r="Q2" s="158"/>
      <c r="R2" s="159">
        <v>0.9</v>
      </c>
      <c r="S2" s="160"/>
      <c r="T2" s="15"/>
      <c r="U2" s="15"/>
      <c r="V2" s="15"/>
      <c r="W2" s="15"/>
      <c r="X2" s="15"/>
      <c r="Y2" s="15"/>
      <c r="Z2" s="16"/>
      <c r="AA2" s="17"/>
      <c r="AB2" s="17"/>
      <c r="AC2" s="17"/>
      <c r="AD2" s="17"/>
      <c r="AE2" s="17"/>
      <c r="AF2" s="17"/>
      <c r="AG2" s="17"/>
      <c r="AH2" s="18"/>
      <c r="AI2" s="21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</row>
    <row r="3" ht="27.0" customHeight="1">
      <c r="A3" s="22"/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7"/>
      <c r="N3" s="13"/>
      <c r="O3" s="163" t="s">
        <v>53</v>
      </c>
      <c r="P3" s="164"/>
      <c r="Q3" s="165"/>
      <c r="R3" s="166">
        <f>S82</f>
        <v>106</v>
      </c>
      <c r="S3" s="160"/>
      <c r="T3" s="15"/>
      <c r="U3" s="15"/>
      <c r="V3" s="15"/>
      <c r="W3" s="15"/>
      <c r="X3" s="15"/>
      <c r="Y3" s="15"/>
      <c r="Z3" s="28"/>
      <c r="AA3" s="26"/>
      <c r="AB3" s="26"/>
      <c r="AC3" s="26"/>
      <c r="AD3" s="26"/>
      <c r="AE3" s="26"/>
      <c r="AF3" s="26"/>
      <c r="AG3" s="26"/>
      <c r="AH3" s="29"/>
      <c r="AI3" s="33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</row>
    <row r="4" ht="15.0" customHeight="1">
      <c r="A4" s="34"/>
      <c r="B4" s="36"/>
      <c r="C4" s="36"/>
      <c r="D4" s="36"/>
      <c r="E4" s="36"/>
      <c r="F4" s="36"/>
      <c r="G4" s="36"/>
      <c r="H4" s="36"/>
      <c r="I4" s="36"/>
      <c r="J4" s="121"/>
      <c r="K4" s="121"/>
      <c r="L4" s="121"/>
      <c r="M4" s="122"/>
      <c r="N4" s="122"/>
      <c r="O4" s="15"/>
      <c r="P4" s="15"/>
      <c r="Q4" s="15"/>
      <c r="R4" s="168"/>
      <c r="S4" s="15"/>
      <c r="T4" s="15"/>
      <c r="U4" s="15"/>
      <c r="V4" s="15"/>
      <c r="W4" s="15"/>
      <c r="X4" s="15"/>
      <c r="Y4" s="15"/>
      <c r="Z4" s="38"/>
      <c r="AA4" s="38"/>
      <c r="AB4" s="39"/>
      <c r="AC4" s="39"/>
      <c r="AD4" s="39"/>
      <c r="AE4" s="39"/>
      <c r="AF4" s="39"/>
      <c r="AG4" s="39"/>
      <c r="AH4" s="39"/>
      <c r="AI4" s="33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</row>
    <row r="5" ht="32.25" customHeight="1">
      <c r="A5" s="34"/>
      <c r="B5" s="169" t="s">
        <v>4</v>
      </c>
      <c r="Y5" s="43"/>
      <c r="Z5" s="169" t="s">
        <v>55</v>
      </c>
      <c r="AI5" s="48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ht="43.5" customHeight="1">
      <c r="A6" s="22"/>
      <c r="B6" s="170" t="s">
        <v>6</v>
      </c>
      <c r="C6" s="171" t="s">
        <v>56</v>
      </c>
      <c r="D6" s="171" t="s">
        <v>57</v>
      </c>
      <c r="E6" s="172" t="s">
        <v>7</v>
      </c>
      <c r="F6" s="172" t="s">
        <v>8</v>
      </c>
      <c r="G6" s="173" t="s">
        <v>9</v>
      </c>
      <c r="H6" s="171" t="s">
        <v>58</v>
      </c>
      <c r="I6" s="172" t="s">
        <v>10</v>
      </c>
      <c r="J6" s="171" t="s">
        <v>61</v>
      </c>
      <c r="K6" s="172" t="s">
        <v>11</v>
      </c>
      <c r="L6" s="171" t="s">
        <v>62</v>
      </c>
      <c r="M6" s="171" t="s">
        <v>63</v>
      </c>
      <c r="N6" s="170" t="s">
        <v>15</v>
      </c>
      <c r="O6" s="170" t="s">
        <v>16</v>
      </c>
      <c r="P6" s="174" t="s">
        <v>64</v>
      </c>
      <c r="Q6" s="170" t="s">
        <v>13</v>
      </c>
      <c r="R6" s="170" t="s">
        <v>17</v>
      </c>
      <c r="S6" s="170" t="s">
        <v>18</v>
      </c>
      <c r="T6" s="174" t="s">
        <v>65</v>
      </c>
      <c r="U6" s="174" t="s">
        <v>66</v>
      </c>
      <c r="V6" s="170"/>
      <c r="W6" s="174" t="s">
        <v>67</v>
      </c>
      <c r="X6" s="170" t="s">
        <v>20</v>
      </c>
      <c r="Y6" s="47"/>
      <c r="Z6" s="170" t="s">
        <v>21</v>
      </c>
      <c r="AA6" s="171" t="s">
        <v>57</v>
      </c>
      <c r="AB6" s="173" t="s">
        <v>23</v>
      </c>
      <c r="AC6" s="171" t="s">
        <v>24</v>
      </c>
      <c r="AD6" s="171" t="s">
        <v>70</v>
      </c>
      <c r="AE6" s="171" t="s">
        <v>71</v>
      </c>
      <c r="AF6" s="171" t="s">
        <v>119</v>
      </c>
      <c r="AG6" s="171" t="s">
        <v>73</v>
      </c>
      <c r="AH6" s="171" t="s">
        <v>120</v>
      </c>
      <c r="AI6" s="48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ht="18.0" customHeight="1" outlineLevel="1">
      <c r="A7" s="22"/>
      <c r="B7" s="206">
        <v>44349.0</v>
      </c>
      <c r="C7" s="176" t="s">
        <v>118</v>
      </c>
      <c r="D7" s="176" t="s">
        <v>89</v>
      </c>
      <c r="E7" s="178" t="s">
        <v>26</v>
      </c>
      <c r="F7" s="178" t="s">
        <v>27</v>
      </c>
      <c r="G7" s="206">
        <v>44358.0</v>
      </c>
      <c r="H7" s="179">
        <f>IFERROR(__xludf.DUMMYFUNCTION("GOOGLEFINANCE(D7,""price"")"),255.76)</f>
        <v>255.76</v>
      </c>
      <c r="I7" s="201">
        <v>126.0</v>
      </c>
      <c r="J7" s="181" t="str">
        <f t="shared" ref="J7:J10" si="1">if(M7="Open",if(E7="Call",I7-H7,if(E7="Put",H7-I7))/I7,"Option Closed")</f>
        <v>Option Closed</v>
      </c>
      <c r="K7" s="212">
        <v>1.0</v>
      </c>
      <c r="L7" s="201">
        <v>1.26</v>
      </c>
      <c r="M7" s="183" t="s">
        <v>86</v>
      </c>
      <c r="N7" s="175"/>
      <c r="O7" s="184"/>
      <c r="P7" s="185">
        <f t="shared" ref="P7:P10" si="2">if(L7="","",L7*(1-$R$2))</f>
        <v>0.126</v>
      </c>
      <c r="Q7" s="186">
        <f t="shared" ref="Q7:Q10" si="3">IF(B7="","",IF(AND(E7="Stock",F7="Buy"),(100*((K7*L7)*-1)),IF(AND(E7="Call",F7="Buy"),(100*((K7*L7)*-1)),IF(AND(E7="PUT",F7="Buy"),(100*((K7*L7)*-1)),100*(K7*L7)))))</f>
        <v>126</v>
      </c>
      <c r="R7" s="187">
        <f t="shared" ref="R7:R10" si="4">IF(B7="","",IF(AND(E7="Stock",F7="Buy"),(100*((K7*O7)*1)),IF(AND(E7="Call",F7="Buy"),(100*((K7*O7)*1)),IF(AND(E7="PUT",F7="Buy"),(100*((K7*O7)*1)),(100*(K7*O7))*-1))))</f>
        <v>0</v>
      </c>
      <c r="S7" s="188">
        <f t="shared" ref="S7:S10" si="5">IF(Q7="","",Q7+R7)</f>
        <v>126</v>
      </c>
      <c r="T7" s="189">
        <f t="shared" ref="T7:T10" si="6">if(L7="","",L7/I7)</f>
        <v>0.01</v>
      </c>
      <c r="U7" s="190" t="str">
        <f>IFERROR(__xludf.DUMMYFUNCTION("if(D7="""","""",SPLIT(INDEX(IMPORTHTML(concatenate(""https://finance.yahoo.com/quote/"",D7),""table"",2),6,2),"" ""))"),"#REF!")</f>
        <v>#REF!</v>
      </c>
      <c r="V7" s="191"/>
      <c r="W7" s="189" t="str">
        <f t="shared" ref="W7:W10" si="7">if(iserror(U7/H7),"",U7/H7)</f>
        <v/>
      </c>
      <c r="X7" s="191">
        <f t="shared" ref="X7:X10" si="8">IF(AND(B7="",N7=""),"",IF(N7="",TODAY()-B7,N7-B7))</f>
        <v>1744</v>
      </c>
      <c r="Y7" s="47"/>
      <c r="Z7" s="175"/>
      <c r="AA7" s="177"/>
      <c r="AB7" s="202"/>
      <c r="AC7" s="361"/>
      <c r="AD7" s="204"/>
      <c r="AE7" s="205"/>
      <c r="AF7" s="206"/>
      <c r="AG7" s="180"/>
      <c r="AH7" s="204"/>
      <c r="AI7" s="48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</row>
    <row r="8" ht="18.0" customHeight="1" outlineLevel="1">
      <c r="A8" s="22"/>
      <c r="B8" s="206">
        <v>44349.0</v>
      </c>
      <c r="C8" s="176" t="s">
        <v>118</v>
      </c>
      <c r="D8" s="176" t="s">
        <v>89</v>
      </c>
      <c r="E8" s="178" t="s">
        <v>26</v>
      </c>
      <c r="F8" s="176" t="s">
        <v>29</v>
      </c>
      <c r="G8" s="206">
        <v>44358.0</v>
      </c>
      <c r="H8" s="179">
        <f>IFERROR(__xludf.DUMMYFUNCTION("GOOGLEFINANCE(D8,""price"")"),255.76)</f>
        <v>255.76</v>
      </c>
      <c r="I8" s="201">
        <v>128.0</v>
      </c>
      <c r="J8" s="200" t="str">
        <f t="shared" si="1"/>
        <v>Option Closed</v>
      </c>
      <c r="K8" s="212">
        <v>1.0</v>
      </c>
      <c r="L8" s="201">
        <v>0.61</v>
      </c>
      <c r="M8" s="183" t="s">
        <v>86</v>
      </c>
      <c r="N8" s="175"/>
      <c r="O8" s="184"/>
      <c r="P8" s="185">
        <f t="shared" si="2"/>
        <v>0.061</v>
      </c>
      <c r="Q8" s="186">
        <f t="shared" si="3"/>
        <v>-61</v>
      </c>
      <c r="R8" s="187">
        <f t="shared" si="4"/>
        <v>0</v>
      </c>
      <c r="S8" s="188">
        <f t="shared" si="5"/>
        <v>-61</v>
      </c>
      <c r="T8" s="189">
        <f t="shared" si="6"/>
        <v>0.004765625</v>
      </c>
      <c r="U8" s="190" t="str">
        <f>IFERROR(__xludf.DUMMYFUNCTION("if(D8="""","""",SPLIT(INDEX(IMPORTHTML(concatenate(""https://finance.yahoo.com/quote/"",D8),""table"",2),6,2),"" ""))"),"#REF!")</f>
        <v>#REF!</v>
      </c>
      <c r="V8" s="191"/>
      <c r="W8" s="189" t="str">
        <f t="shared" si="7"/>
        <v/>
      </c>
      <c r="X8" s="191">
        <f t="shared" si="8"/>
        <v>1744</v>
      </c>
      <c r="Y8" s="47"/>
      <c r="Z8" s="175"/>
      <c r="AA8" s="176"/>
      <c r="AB8" s="202"/>
      <c r="AC8" s="203"/>
      <c r="AD8" s="204"/>
      <c r="AE8" s="205"/>
      <c r="AF8" s="206"/>
      <c r="AG8" s="180"/>
      <c r="AH8" s="204"/>
      <c r="AI8" s="48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</row>
    <row r="9" ht="18.0" customHeight="1" outlineLevel="1">
      <c r="A9" s="6"/>
      <c r="B9" s="206">
        <v>44349.0</v>
      </c>
      <c r="C9" s="176" t="s">
        <v>118</v>
      </c>
      <c r="D9" s="176" t="s">
        <v>89</v>
      </c>
      <c r="E9" s="176" t="s">
        <v>82</v>
      </c>
      <c r="F9" s="176" t="s">
        <v>27</v>
      </c>
      <c r="G9" s="206">
        <v>44358.0</v>
      </c>
      <c r="H9" s="179">
        <f>IFERROR(__xludf.DUMMYFUNCTION("GOOGLEFINANCE(D9,""price"")"),255.76)</f>
        <v>255.76</v>
      </c>
      <c r="I9" s="201">
        <v>123.0</v>
      </c>
      <c r="J9" s="181" t="str">
        <f t="shared" si="1"/>
        <v>Option Closed</v>
      </c>
      <c r="K9" s="212">
        <v>1.0</v>
      </c>
      <c r="L9" s="201">
        <v>0.9</v>
      </c>
      <c r="M9" s="183" t="s">
        <v>86</v>
      </c>
      <c r="N9" s="206"/>
      <c r="O9" s="184"/>
      <c r="P9" s="185">
        <f t="shared" si="2"/>
        <v>0.09</v>
      </c>
      <c r="Q9" s="186">
        <f t="shared" si="3"/>
        <v>90</v>
      </c>
      <c r="R9" s="187">
        <f t="shared" si="4"/>
        <v>0</v>
      </c>
      <c r="S9" s="188">
        <f t="shared" si="5"/>
        <v>90</v>
      </c>
      <c r="T9" s="189">
        <f t="shared" si="6"/>
        <v>0.007317073171</v>
      </c>
      <c r="U9" s="190" t="str">
        <f>IFERROR(__xludf.DUMMYFUNCTION("if(D9="""","""",SPLIT(INDEX(IMPORTHTML(concatenate(""https://finance.yahoo.com/quote/"",D9),""table"",2),6,2),"" ""))"),"#REF!")</f>
        <v>#REF!</v>
      </c>
      <c r="V9" s="191"/>
      <c r="W9" s="189" t="str">
        <f t="shared" si="7"/>
        <v/>
      </c>
      <c r="X9" s="191">
        <f t="shared" si="8"/>
        <v>1744</v>
      </c>
      <c r="Y9" s="47"/>
      <c r="Z9" s="175"/>
      <c r="AA9" s="176"/>
      <c r="AB9" s="202"/>
      <c r="AC9" s="203"/>
      <c r="AD9" s="204"/>
      <c r="AE9" s="205"/>
      <c r="AF9" s="206"/>
      <c r="AG9" s="180"/>
      <c r="AH9" s="204"/>
      <c r="AI9" s="72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</row>
    <row r="10" ht="18.0" customHeight="1" outlineLevel="1">
      <c r="A10" s="6"/>
      <c r="B10" s="206">
        <v>44349.0</v>
      </c>
      <c r="C10" s="220" t="s">
        <v>118</v>
      </c>
      <c r="D10" s="220" t="s">
        <v>89</v>
      </c>
      <c r="E10" s="220" t="s">
        <v>82</v>
      </c>
      <c r="F10" s="220" t="s">
        <v>29</v>
      </c>
      <c r="G10" s="206">
        <v>44358.0</v>
      </c>
      <c r="H10" s="362">
        <f>IFERROR(__xludf.DUMMYFUNCTION("GOOGLEFINANCE(D10,""price"")"),255.76)</f>
        <v>255.76</v>
      </c>
      <c r="I10" s="222">
        <v>121.0</v>
      </c>
      <c r="J10" s="223" t="str">
        <f t="shared" si="1"/>
        <v>Option Closed</v>
      </c>
      <c r="K10" s="363">
        <v>1.0</v>
      </c>
      <c r="L10" s="222">
        <v>0.49</v>
      </c>
      <c r="M10" s="364" t="s">
        <v>86</v>
      </c>
      <c r="N10" s="225"/>
      <c r="O10" s="365"/>
      <c r="P10" s="366">
        <f t="shared" si="2"/>
        <v>0.049</v>
      </c>
      <c r="Q10" s="367">
        <f t="shared" si="3"/>
        <v>-49</v>
      </c>
      <c r="R10" s="368">
        <f t="shared" si="4"/>
        <v>0</v>
      </c>
      <c r="S10" s="369">
        <f t="shared" si="5"/>
        <v>-49</v>
      </c>
      <c r="T10" s="370">
        <f t="shared" si="6"/>
        <v>0.004049586777</v>
      </c>
      <c r="U10" s="371" t="str">
        <f>IFERROR(__xludf.DUMMYFUNCTION("if(D10="""","""",SPLIT(INDEX(IMPORTHTML(concatenate(""https://finance.yahoo.com/quote/"",D10),""table"",2),6,2),"" ""))"),"#REF!")</f>
        <v>#REF!</v>
      </c>
      <c r="V10" s="372"/>
      <c r="W10" s="370" t="str">
        <f t="shared" si="7"/>
        <v/>
      </c>
      <c r="X10" s="372">
        <f t="shared" si="8"/>
        <v>1744</v>
      </c>
      <c r="Y10" s="47"/>
      <c r="Z10" s="175"/>
      <c r="AA10" s="176"/>
      <c r="AB10" s="202"/>
      <c r="AC10" s="203"/>
      <c r="AD10" s="204"/>
      <c r="AE10" s="205"/>
      <c r="AF10" s="206"/>
      <c r="AG10" s="180"/>
      <c r="AH10" s="204"/>
      <c r="AI10" s="72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</row>
    <row r="11" ht="18.0" customHeight="1">
      <c r="A11" s="6"/>
      <c r="B11" s="175"/>
      <c r="C11" s="176"/>
      <c r="D11" s="177"/>
      <c r="E11" s="178"/>
      <c r="F11" s="178"/>
      <c r="G11" s="175"/>
      <c r="H11" s="179"/>
      <c r="I11" s="180"/>
      <c r="J11" s="181"/>
      <c r="K11" s="182"/>
      <c r="L11" s="180"/>
      <c r="M11" s="183"/>
      <c r="N11" s="206"/>
      <c r="O11" s="184"/>
      <c r="P11" s="185"/>
      <c r="Q11" s="186"/>
      <c r="R11" s="187"/>
      <c r="S11" s="188"/>
      <c r="T11" s="189"/>
      <c r="U11" s="190"/>
      <c r="V11" s="191"/>
      <c r="W11" s="189"/>
      <c r="X11" s="191"/>
      <c r="Y11" s="47"/>
      <c r="Z11" s="198"/>
      <c r="AA11" s="207"/>
      <c r="AB11" s="210"/>
      <c r="AC11" s="208"/>
      <c r="AD11" s="196"/>
      <c r="AE11" s="197"/>
      <c r="AF11" s="198"/>
      <c r="AG11" s="209"/>
      <c r="AH11" s="196"/>
      <c r="AI11" s="72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</row>
    <row r="12" ht="18.0" customHeight="1">
      <c r="A12" s="6"/>
      <c r="B12" s="175"/>
      <c r="C12" s="176"/>
      <c r="D12" s="177"/>
      <c r="E12" s="178"/>
      <c r="F12" s="178"/>
      <c r="G12" s="175"/>
      <c r="H12" s="179"/>
      <c r="I12" s="201"/>
      <c r="J12" s="181"/>
      <c r="K12" s="182"/>
      <c r="L12" s="180"/>
      <c r="M12" s="183"/>
      <c r="N12" s="206"/>
      <c r="O12" s="184"/>
      <c r="P12" s="185"/>
      <c r="Q12" s="186"/>
      <c r="R12" s="187"/>
      <c r="S12" s="188"/>
      <c r="T12" s="189"/>
      <c r="U12" s="190"/>
      <c r="V12" s="191"/>
      <c r="W12" s="189"/>
      <c r="X12" s="191"/>
      <c r="Y12" s="47"/>
      <c r="Z12" s="175"/>
      <c r="AA12" s="177"/>
      <c r="AB12" s="175"/>
      <c r="AC12" s="180"/>
      <c r="AD12" s="180"/>
      <c r="AE12" s="180"/>
      <c r="AF12" s="180"/>
      <c r="AG12" s="180"/>
      <c r="AH12" s="180" t="str">
        <f t="shared" ref="AH12:AH29" si="9">IF(AB12="","",(AB12*AC12)*-1)</f>
        <v/>
      </c>
      <c r="AI12" s="72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</row>
    <row r="13" ht="18.0" customHeight="1">
      <c r="A13" s="6"/>
      <c r="B13" s="175"/>
      <c r="C13" s="176"/>
      <c r="D13" s="177"/>
      <c r="E13" s="178"/>
      <c r="F13" s="178"/>
      <c r="G13" s="175"/>
      <c r="H13" s="179"/>
      <c r="I13" s="180"/>
      <c r="J13" s="181"/>
      <c r="K13" s="182"/>
      <c r="L13" s="180"/>
      <c r="M13" s="183"/>
      <c r="N13" s="206"/>
      <c r="O13" s="184"/>
      <c r="P13" s="185"/>
      <c r="Q13" s="186"/>
      <c r="R13" s="187"/>
      <c r="S13" s="188"/>
      <c r="T13" s="189"/>
      <c r="U13" s="190"/>
      <c r="V13" s="191"/>
      <c r="W13" s="189"/>
      <c r="X13" s="191"/>
      <c r="Y13" s="47"/>
      <c r="Z13" s="175"/>
      <c r="AA13" s="177"/>
      <c r="AB13" s="175"/>
      <c r="AC13" s="180"/>
      <c r="AD13" s="180"/>
      <c r="AE13" s="180"/>
      <c r="AF13" s="180"/>
      <c r="AG13" s="180"/>
      <c r="AH13" s="180" t="str">
        <f t="shared" si="9"/>
        <v/>
      </c>
      <c r="AI13" s="72"/>
      <c r="AJ13" s="5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</row>
    <row r="14" ht="18.0" customHeight="1">
      <c r="A14" s="6"/>
      <c r="B14" s="175"/>
      <c r="C14" s="176"/>
      <c r="D14" s="177"/>
      <c r="E14" s="178"/>
      <c r="F14" s="178"/>
      <c r="G14" s="175"/>
      <c r="H14" s="179"/>
      <c r="I14" s="180"/>
      <c r="J14" s="181"/>
      <c r="K14" s="182"/>
      <c r="L14" s="180"/>
      <c r="M14" s="183"/>
      <c r="N14" s="206"/>
      <c r="O14" s="184"/>
      <c r="P14" s="185"/>
      <c r="Q14" s="186"/>
      <c r="R14" s="187"/>
      <c r="S14" s="188"/>
      <c r="T14" s="189"/>
      <c r="U14" s="190"/>
      <c r="V14" s="191"/>
      <c r="W14" s="189"/>
      <c r="X14" s="191"/>
      <c r="Y14" s="70"/>
      <c r="Z14" s="175"/>
      <c r="AA14" s="177"/>
      <c r="AB14" s="175"/>
      <c r="AC14" s="180"/>
      <c r="AD14" s="180"/>
      <c r="AE14" s="180"/>
      <c r="AF14" s="180"/>
      <c r="AG14" s="180"/>
      <c r="AH14" s="180" t="str">
        <f t="shared" si="9"/>
        <v/>
      </c>
      <c r="AI14" s="72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</row>
    <row r="15" ht="18.0" customHeight="1">
      <c r="A15" s="6"/>
      <c r="B15" s="175"/>
      <c r="C15" s="176"/>
      <c r="D15" s="177"/>
      <c r="E15" s="178"/>
      <c r="F15" s="178"/>
      <c r="G15" s="175"/>
      <c r="H15" s="179"/>
      <c r="I15" s="180"/>
      <c r="J15" s="181"/>
      <c r="K15" s="182"/>
      <c r="L15" s="180"/>
      <c r="M15" s="183"/>
      <c r="N15" s="206"/>
      <c r="O15" s="184"/>
      <c r="P15" s="185"/>
      <c r="Q15" s="186"/>
      <c r="R15" s="187"/>
      <c r="S15" s="188"/>
      <c r="T15" s="189"/>
      <c r="U15" s="190"/>
      <c r="V15" s="191"/>
      <c r="W15" s="189"/>
      <c r="X15" s="191"/>
      <c r="Y15" s="70"/>
      <c r="Z15" s="175"/>
      <c r="AA15" s="177"/>
      <c r="AB15" s="175"/>
      <c r="AC15" s="180"/>
      <c r="AD15" s="180"/>
      <c r="AE15" s="180"/>
      <c r="AF15" s="180"/>
      <c r="AG15" s="180"/>
      <c r="AH15" s="180" t="str">
        <f t="shared" si="9"/>
        <v/>
      </c>
      <c r="AI15" s="72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</row>
    <row r="16" ht="18.0" customHeight="1">
      <c r="A16" s="6"/>
      <c r="B16" s="175"/>
      <c r="C16" s="176"/>
      <c r="D16" s="177"/>
      <c r="E16" s="178"/>
      <c r="F16" s="178"/>
      <c r="G16" s="175"/>
      <c r="H16" s="179"/>
      <c r="I16" s="180"/>
      <c r="J16" s="181"/>
      <c r="K16" s="182"/>
      <c r="L16" s="201"/>
      <c r="M16" s="183"/>
      <c r="N16" s="206"/>
      <c r="O16" s="184"/>
      <c r="P16" s="185"/>
      <c r="Q16" s="186"/>
      <c r="R16" s="187"/>
      <c r="S16" s="188"/>
      <c r="T16" s="189"/>
      <c r="U16" s="190"/>
      <c r="V16" s="191"/>
      <c r="W16" s="189"/>
      <c r="X16" s="191"/>
      <c r="Y16" s="70"/>
      <c r="Z16" s="175"/>
      <c r="AA16" s="177"/>
      <c r="AB16" s="175"/>
      <c r="AC16" s="180"/>
      <c r="AD16" s="180"/>
      <c r="AE16" s="180"/>
      <c r="AF16" s="180"/>
      <c r="AG16" s="180"/>
      <c r="AH16" s="180" t="str">
        <f t="shared" si="9"/>
        <v/>
      </c>
      <c r="AI16" s="72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</row>
    <row r="17" ht="18.0" customHeight="1">
      <c r="A17" s="6"/>
      <c r="B17" s="206"/>
      <c r="C17" s="176"/>
      <c r="D17" s="177"/>
      <c r="E17" s="178"/>
      <c r="F17" s="178"/>
      <c r="G17" s="206"/>
      <c r="H17" s="179"/>
      <c r="I17" s="201"/>
      <c r="J17" s="181"/>
      <c r="K17" s="182"/>
      <c r="L17" s="201"/>
      <c r="M17" s="183"/>
      <c r="N17" s="206"/>
      <c r="O17" s="184"/>
      <c r="P17" s="185"/>
      <c r="Q17" s="186"/>
      <c r="R17" s="187"/>
      <c r="S17" s="188"/>
      <c r="T17" s="189"/>
      <c r="U17" s="190"/>
      <c r="V17" s="191"/>
      <c r="W17" s="189"/>
      <c r="X17" s="191"/>
      <c r="Y17" s="70"/>
      <c r="Z17" s="175"/>
      <c r="AA17" s="177"/>
      <c r="AB17" s="175"/>
      <c r="AC17" s="180"/>
      <c r="AD17" s="180"/>
      <c r="AE17" s="180"/>
      <c r="AF17" s="180"/>
      <c r="AG17" s="180"/>
      <c r="AH17" s="180" t="str">
        <f t="shared" si="9"/>
        <v/>
      </c>
      <c r="AI17" s="72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</row>
    <row r="18" ht="18.0" customHeight="1">
      <c r="A18" s="6"/>
      <c r="B18" s="206"/>
      <c r="C18" s="176"/>
      <c r="D18" s="176"/>
      <c r="E18" s="176"/>
      <c r="F18" s="178"/>
      <c r="G18" s="206"/>
      <c r="H18" s="179"/>
      <c r="I18" s="201"/>
      <c r="J18" s="181"/>
      <c r="K18" s="182"/>
      <c r="L18" s="201"/>
      <c r="M18" s="183"/>
      <c r="N18" s="206"/>
      <c r="O18" s="184"/>
      <c r="P18" s="185"/>
      <c r="Q18" s="186"/>
      <c r="R18" s="187"/>
      <c r="S18" s="188"/>
      <c r="T18" s="189"/>
      <c r="U18" s="190"/>
      <c r="V18" s="191"/>
      <c r="W18" s="189"/>
      <c r="X18" s="191"/>
      <c r="Y18" s="70"/>
      <c r="Z18" s="175"/>
      <c r="AA18" s="177"/>
      <c r="AB18" s="175"/>
      <c r="AC18" s="180"/>
      <c r="AD18" s="180"/>
      <c r="AE18" s="180"/>
      <c r="AF18" s="180"/>
      <c r="AG18" s="180"/>
      <c r="AH18" s="180" t="str">
        <f t="shared" si="9"/>
        <v/>
      </c>
      <c r="AI18" s="72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</row>
    <row r="19" ht="18.0" customHeight="1">
      <c r="A19" s="6"/>
      <c r="B19" s="206"/>
      <c r="C19" s="176"/>
      <c r="D19" s="176"/>
      <c r="E19" s="176"/>
      <c r="F19" s="178"/>
      <c r="G19" s="206"/>
      <c r="H19" s="179"/>
      <c r="I19" s="201"/>
      <c r="J19" s="181"/>
      <c r="K19" s="182"/>
      <c r="L19" s="201"/>
      <c r="M19" s="183"/>
      <c r="N19" s="206"/>
      <c r="O19" s="184"/>
      <c r="P19" s="185"/>
      <c r="Q19" s="186"/>
      <c r="R19" s="187"/>
      <c r="S19" s="188"/>
      <c r="T19" s="189"/>
      <c r="U19" s="190"/>
      <c r="V19" s="191"/>
      <c r="W19" s="189"/>
      <c r="X19" s="191"/>
      <c r="Y19" s="70"/>
      <c r="Z19" s="175"/>
      <c r="AA19" s="177"/>
      <c r="AB19" s="175"/>
      <c r="AC19" s="180"/>
      <c r="AD19" s="180"/>
      <c r="AE19" s="180"/>
      <c r="AF19" s="180"/>
      <c r="AG19" s="180"/>
      <c r="AH19" s="180" t="str">
        <f t="shared" si="9"/>
        <v/>
      </c>
      <c r="AI19" s="72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</row>
    <row r="20" ht="18.0" customHeight="1">
      <c r="A20" s="6"/>
      <c r="B20" s="206"/>
      <c r="C20" s="176"/>
      <c r="D20" s="176"/>
      <c r="E20" s="176"/>
      <c r="F20" s="178"/>
      <c r="G20" s="206"/>
      <c r="H20" s="179"/>
      <c r="I20" s="201"/>
      <c r="J20" s="181"/>
      <c r="K20" s="212"/>
      <c r="L20" s="201"/>
      <c r="M20" s="183"/>
      <c r="N20" s="206"/>
      <c r="O20" s="184"/>
      <c r="P20" s="185"/>
      <c r="Q20" s="186"/>
      <c r="R20" s="187"/>
      <c r="S20" s="188"/>
      <c r="T20" s="189"/>
      <c r="U20" s="190"/>
      <c r="V20" s="191"/>
      <c r="W20" s="189"/>
      <c r="X20" s="191"/>
      <c r="Y20" s="70"/>
      <c r="Z20" s="175"/>
      <c r="AA20" s="177"/>
      <c r="AB20" s="175"/>
      <c r="AC20" s="180"/>
      <c r="AD20" s="180"/>
      <c r="AE20" s="180"/>
      <c r="AF20" s="180"/>
      <c r="AG20" s="180"/>
      <c r="AH20" s="180" t="str">
        <f t="shared" si="9"/>
        <v/>
      </c>
      <c r="AI20" s="72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</row>
    <row r="21" ht="18.0" customHeight="1">
      <c r="A21" s="6"/>
      <c r="B21" s="206"/>
      <c r="C21" s="176"/>
      <c r="D21" s="176"/>
      <c r="E21" s="176"/>
      <c r="F21" s="178"/>
      <c r="G21" s="206"/>
      <c r="H21" s="179"/>
      <c r="I21" s="201"/>
      <c r="J21" s="181"/>
      <c r="K21" s="212"/>
      <c r="L21" s="201"/>
      <c r="M21" s="183"/>
      <c r="N21" s="206"/>
      <c r="O21" s="184"/>
      <c r="P21" s="185"/>
      <c r="Q21" s="186"/>
      <c r="R21" s="187"/>
      <c r="S21" s="188"/>
      <c r="T21" s="189"/>
      <c r="U21" s="190"/>
      <c r="V21" s="191"/>
      <c r="W21" s="189"/>
      <c r="X21" s="191"/>
      <c r="Y21" s="70"/>
      <c r="Z21" s="175"/>
      <c r="AA21" s="177"/>
      <c r="AB21" s="175"/>
      <c r="AC21" s="180"/>
      <c r="AD21" s="180"/>
      <c r="AE21" s="180"/>
      <c r="AF21" s="180"/>
      <c r="AG21" s="180"/>
      <c r="AH21" s="180" t="str">
        <f t="shared" si="9"/>
        <v/>
      </c>
      <c r="AI21" s="72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</row>
    <row r="22" ht="18.0" customHeight="1">
      <c r="A22" s="6"/>
      <c r="B22" s="206"/>
      <c r="C22" s="176"/>
      <c r="D22" s="176"/>
      <c r="E22" s="176"/>
      <c r="F22" s="178"/>
      <c r="G22" s="206"/>
      <c r="H22" s="179"/>
      <c r="I22" s="201"/>
      <c r="J22" s="181"/>
      <c r="K22" s="212"/>
      <c r="L22" s="201"/>
      <c r="M22" s="183"/>
      <c r="N22" s="206"/>
      <c r="O22" s="184"/>
      <c r="P22" s="185"/>
      <c r="Q22" s="186"/>
      <c r="R22" s="187"/>
      <c r="S22" s="188"/>
      <c r="T22" s="189"/>
      <c r="U22" s="190"/>
      <c r="V22" s="191"/>
      <c r="W22" s="189"/>
      <c r="X22" s="191"/>
      <c r="Y22" s="70"/>
      <c r="Z22" s="175"/>
      <c r="AA22" s="177"/>
      <c r="AB22" s="175"/>
      <c r="AC22" s="180"/>
      <c r="AD22" s="180"/>
      <c r="AE22" s="180"/>
      <c r="AF22" s="180"/>
      <c r="AG22" s="180"/>
      <c r="AH22" s="180" t="str">
        <f t="shared" si="9"/>
        <v/>
      </c>
      <c r="AI22" s="72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</row>
    <row r="23" ht="18.0" customHeight="1">
      <c r="A23" s="6"/>
      <c r="B23" s="206"/>
      <c r="C23" s="176"/>
      <c r="D23" s="176"/>
      <c r="E23" s="176"/>
      <c r="F23" s="178"/>
      <c r="G23" s="206"/>
      <c r="H23" s="179"/>
      <c r="I23" s="201"/>
      <c r="J23" s="181"/>
      <c r="K23" s="212"/>
      <c r="L23" s="201"/>
      <c r="M23" s="183"/>
      <c r="N23" s="206"/>
      <c r="O23" s="184"/>
      <c r="P23" s="185"/>
      <c r="Q23" s="186"/>
      <c r="R23" s="187"/>
      <c r="S23" s="188"/>
      <c r="T23" s="189"/>
      <c r="U23" s="190"/>
      <c r="V23" s="191"/>
      <c r="W23" s="189"/>
      <c r="X23" s="191"/>
      <c r="Y23" s="70"/>
      <c r="Z23" s="175"/>
      <c r="AA23" s="177"/>
      <c r="AB23" s="175"/>
      <c r="AC23" s="180"/>
      <c r="AD23" s="180"/>
      <c r="AE23" s="180"/>
      <c r="AF23" s="180"/>
      <c r="AG23" s="180"/>
      <c r="AH23" s="180" t="str">
        <f t="shared" si="9"/>
        <v/>
      </c>
      <c r="AI23" s="72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</row>
    <row r="24" ht="18.0" customHeight="1">
      <c r="A24" s="6"/>
      <c r="B24" s="206"/>
      <c r="C24" s="176"/>
      <c r="D24" s="176"/>
      <c r="E24" s="176"/>
      <c r="F24" s="178"/>
      <c r="G24" s="206"/>
      <c r="H24" s="179"/>
      <c r="I24" s="201"/>
      <c r="J24" s="181"/>
      <c r="K24" s="212"/>
      <c r="L24" s="201"/>
      <c r="M24" s="183"/>
      <c r="N24" s="206"/>
      <c r="O24" s="184"/>
      <c r="P24" s="185"/>
      <c r="Q24" s="186"/>
      <c r="R24" s="187"/>
      <c r="S24" s="188"/>
      <c r="T24" s="189"/>
      <c r="U24" s="190"/>
      <c r="V24" s="191"/>
      <c r="W24" s="189"/>
      <c r="X24" s="191"/>
      <c r="Y24" s="70"/>
      <c r="Z24" s="175"/>
      <c r="AA24" s="177"/>
      <c r="AB24" s="175"/>
      <c r="AC24" s="180"/>
      <c r="AD24" s="180"/>
      <c r="AE24" s="180"/>
      <c r="AF24" s="180"/>
      <c r="AG24" s="180"/>
      <c r="AH24" s="180" t="str">
        <f t="shared" si="9"/>
        <v/>
      </c>
      <c r="AI24" s="72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</row>
    <row r="25" ht="18.0" customHeight="1">
      <c r="A25" s="6"/>
      <c r="B25" s="206"/>
      <c r="C25" s="176"/>
      <c r="D25" s="176"/>
      <c r="E25" s="176"/>
      <c r="F25" s="178"/>
      <c r="G25" s="206"/>
      <c r="H25" s="179"/>
      <c r="I25" s="201"/>
      <c r="J25" s="181"/>
      <c r="K25" s="212"/>
      <c r="L25" s="201"/>
      <c r="M25" s="183"/>
      <c r="N25" s="206"/>
      <c r="O25" s="184"/>
      <c r="P25" s="185"/>
      <c r="Q25" s="186"/>
      <c r="R25" s="187"/>
      <c r="S25" s="188"/>
      <c r="T25" s="189"/>
      <c r="U25" s="190"/>
      <c r="V25" s="191"/>
      <c r="W25" s="189"/>
      <c r="X25" s="191"/>
      <c r="Y25" s="70"/>
      <c r="Z25" s="175"/>
      <c r="AA25" s="177"/>
      <c r="AB25" s="175"/>
      <c r="AC25" s="180"/>
      <c r="AD25" s="180"/>
      <c r="AE25" s="180"/>
      <c r="AF25" s="180"/>
      <c r="AG25" s="180"/>
      <c r="AH25" s="180" t="str">
        <f t="shared" si="9"/>
        <v/>
      </c>
      <c r="AI25" s="72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</row>
    <row r="26" ht="18.0" customHeight="1">
      <c r="A26" s="6"/>
      <c r="B26" s="206"/>
      <c r="C26" s="176"/>
      <c r="D26" s="176"/>
      <c r="E26" s="176"/>
      <c r="F26" s="178"/>
      <c r="G26" s="206"/>
      <c r="H26" s="179"/>
      <c r="I26" s="201"/>
      <c r="J26" s="181"/>
      <c r="K26" s="212"/>
      <c r="L26" s="201"/>
      <c r="M26" s="183"/>
      <c r="N26" s="206"/>
      <c r="O26" s="184"/>
      <c r="P26" s="185"/>
      <c r="Q26" s="186"/>
      <c r="R26" s="187"/>
      <c r="S26" s="188"/>
      <c r="T26" s="189"/>
      <c r="U26" s="190"/>
      <c r="V26" s="191"/>
      <c r="W26" s="189"/>
      <c r="X26" s="191"/>
      <c r="Y26" s="70"/>
      <c r="Z26" s="175"/>
      <c r="AA26" s="177"/>
      <c r="AB26" s="175"/>
      <c r="AC26" s="180"/>
      <c r="AD26" s="180"/>
      <c r="AE26" s="180"/>
      <c r="AF26" s="180"/>
      <c r="AG26" s="180"/>
      <c r="AH26" s="180" t="str">
        <f t="shared" si="9"/>
        <v/>
      </c>
      <c r="AI26" s="72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</row>
    <row r="27" ht="18.0" customHeight="1">
      <c r="A27" s="6"/>
      <c r="B27" s="206"/>
      <c r="C27" s="176"/>
      <c r="D27" s="176"/>
      <c r="E27" s="176"/>
      <c r="F27" s="178"/>
      <c r="G27" s="206"/>
      <c r="H27" s="179"/>
      <c r="I27" s="201"/>
      <c r="J27" s="181"/>
      <c r="K27" s="212"/>
      <c r="L27" s="201"/>
      <c r="M27" s="183"/>
      <c r="N27" s="206"/>
      <c r="O27" s="184"/>
      <c r="P27" s="185"/>
      <c r="Q27" s="186"/>
      <c r="R27" s="187"/>
      <c r="S27" s="188"/>
      <c r="T27" s="189"/>
      <c r="U27" s="190"/>
      <c r="V27" s="191"/>
      <c r="W27" s="189"/>
      <c r="X27" s="191"/>
      <c r="Y27" s="70"/>
      <c r="Z27" s="175"/>
      <c r="AA27" s="177"/>
      <c r="AB27" s="175"/>
      <c r="AC27" s="180"/>
      <c r="AD27" s="180"/>
      <c r="AE27" s="180"/>
      <c r="AF27" s="180"/>
      <c r="AG27" s="180"/>
      <c r="AH27" s="180" t="str">
        <f t="shared" si="9"/>
        <v/>
      </c>
      <c r="AI27" s="72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</row>
    <row r="28" ht="18.0" customHeight="1">
      <c r="A28" s="6"/>
      <c r="B28" s="206"/>
      <c r="C28" s="176"/>
      <c r="D28" s="176"/>
      <c r="E28" s="176"/>
      <c r="F28" s="178"/>
      <c r="G28" s="206"/>
      <c r="H28" s="179"/>
      <c r="I28" s="201"/>
      <c r="J28" s="181"/>
      <c r="K28" s="212"/>
      <c r="L28" s="201"/>
      <c r="M28" s="183"/>
      <c r="N28" s="206"/>
      <c r="O28" s="184"/>
      <c r="P28" s="185"/>
      <c r="Q28" s="186"/>
      <c r="R28" s="187"/>
      <c r="S28" s="188"/>
      <c r="T28" s="189"/>
      <c r="U28" s="190"/>
      <c r="V28" s="191"/>
      <c r="W28" s="189"/>
      <c r="X28" s="191"/>
      <c r="Y28" s="70"/>
      <c r="Z28" s="175"/>
      <c r="AA28" s="177"/>
      <c r="AB28" s="175"/>
      <c r="AC28" s="180"/>
      <c r="AD28" s="180"/>
      <c r="AE28" s="180"/>
      <c r="AF28" s="180"/>
      <c r="AG28" s="180"/>
      <c r="AH28" s="180" t="str">
        <f t="shared" si="9"/>
        <v/>
      </c>
      <c r="AI28" s="72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</row>
    <row r="29" ht="18.0" customHeight="1">
      <c r="A29" s="6"/>
      <c r="B29" s="206"/>
      <c r="C29" s="176"/>
      <c r="D29" s="176"/>
      <c r="E29" s="176"/>
      <c r="F29" s="178"/>
      <c r="G29" s="206"/>
      <c r="H29" s="179"/>
      <c r="I29" s="201"/>
      <c r="J29" s="181"/>
      <c r="K29" s="212"/>
      <c r="L29" s="201"/>
      <c r="M29" s="183"/>
      <c r="N29" s="206"/>
      <c r="O29" s="184"/>
      <c r="P29" s="185"/>
      <c r="Q29" s="186"/>
      <c r="R29" s="187"/>
      <c r="S29" s="188"/>
      <c r="T29" s="189"/>
      <c r="U29" s="190"/>
      <c r="V29" s="191"/>
      <c r="W29" s="189"/>
      <c r="X29" s="191"/>
      <c r="Y29" s="70"/>
      <c r="Z29" s="175"/>
      <c r="AA29" s="177"/>
      <c r="AB29" s="175"/>
      <c r="AC29" s="180"/>
      <c r="AD29" s="180"/>
      <c r="AE29" s="180"/>
      <c r="AF29" s="180"/>
      <c r="AG29" s="180"/>
      <c r="AH29" s="180" t="str">
        <f t="shared" si="9"/>
        <v/>
      </c>
      <c r="AI29" s="72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</row>
    <row r="30" ht="18.0" customHeight="1">
      <c r="A30" s="6"/>
      <c r="B30" s="206"/>
      <c r="C30" s="176"/>
      <c r="D30" s="176"/>
      <c r="E30" s="176"/>
      <c r="F30" s="178"/>
      <c r="G30" s="206"/>
      <c r="H30" s="179"/>
      <c r="I30" s="201"/>
      <c r="J30" s="181"/>
      <c r="K30" s="212"/>
      <c r="L30" s="201"/>
      <c r="M30" s="183"/>
      <c r="N30" s="206"/>
      <c r="O30" s="184"/>
      <c r="P30" s="185"/>
      <c r="Q30" s="186"/>
      <c r="R30" s="187"/>
      <c r="S30" s="188"/>
      <c r="T30" s="189"/>
      <c r="U30" s="190"/>
      <c r="V30" s="191"/>
      <c r="W30" s="189"/>
      <c r="X30" s="191"/>
      <c r="Y30" s="70"/>
      <c r="Z30" s="175"/>
      <c r="AA30" s="177"/>
      <c r="AB30" s="175"/>
      <c r="AC30" s="180"/>
      <c r="AD30" s="180"/>
      <c r="AE30" s="180"/>
      <c r="AF30" s="180"/>
      <c r="AG30" s="180"/>
      <c r="AH30" s="180"/>
      <c r="AI30" s="72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</row>
    <row r="31" ht="18.0" customHeight="1">
      <c r="A31" s="6"/>
      <c r="B31" s="206"/>
      <c r="C31" s="176"/>
      <c r="D31" s="177"/>
      <c r="E31" s="178"/>
      <c r="F31" s="178"/>
      <c r="G31" s="206"/>
      <c r="H31" s="179"/>
      <c r="I31" s="201"/>
      <c r="J31" s="181"/>
      <c r="K31" s="182"/>
      <c r="L31" s="201"/>
      <c r="M31" s="183"/>
      <c r="N31" s="206"/>
      <c r="O31" s="184"/>
      <c r="P31" s="185"/>
      <c r="Q31" s="186"/>
      <c r="R31" s="187"/>
      <c r="S31" s="188"/>
      <c r="T31" s="189"/>
      <c r="U31" s="190"/>
      <c r="V31" s="191"/>
      <c r="W31" s="189"/>
      <c r="X31" s="191"/>
      <c r="Y31" s="70"/>
      <c r="Z31" s="175"/>
      <c r="AA31" s="177"/>
      <c r="AB31" s="175"/>
      <c r="AC31" s="180"/>
      <c r="AD31" s="180"/>
      <c r="AE31" s="180"/>
      <c r="AF31" s="180"/>
      <c r="AG31" s="180"/>
      <c r="AH31" s="180" t="str">
        <f t="shared" ref="AH31:AH53" si="10">IF(AB31="","",(AB31*AC31)*-1)</f>
        <v/>
      </c>
      <c r="AI31" s="72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</row>
    <row r="32" ht="18.0" customHeight="1">
      <c r="A32" s="6"/>
      <c r="B32" s="206"/>
      <c r="C32" s="176"/>
      <c r="D32" s="176"/>
      <c r="E32" s="176"/>
      <c r="F32" s="178"/>
      <c r="G32" s="206"/>
      <c r="H32" s="179"/>
      <c r="I32" s="201"/>
      <c r="J32" s="181"/>
      <c r="K32" s="182"/>
      <c r="L32" s="201"/>
      <c r="M32" s="183"/>
      <c r="N32" s="206"/>
      <c r="O32" s="184"/>
      <c r="P32" s="185"/>
      <c r="Q32" s="186"/>
      <c r="R32" s="187"/>
      <c r="S32" s="188"/>
      <c r="T32" s="189"/>
      <c r="U32" s="190"/>
      <c r="V32" s="191"/>
      <c r="W32" s="189"/>
      <c r="X32" s="191"/>
      <c r="Y32" s="70"/>
      <c r="Z32" s="175"/>
      <c r="AA32" s="177"/>
      <c r="AB32" s="175"/>
      <c r="AC32" s="180"/>
      <c r="AD32" s="180"/>
      <c r="AE32" s="180"/>
      <c r="AF32" s="180"/>
      <c r="AG32" s="180"/>
      <c r="AH32" s="180" t="str">
        <f t="shared" si="10"/>
        <v/>
      </c>
      <c r="AI32" s="72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</row>
    <row r="33" ht="18.0" customHeight="1">
      <c r="A33" s="6"/>
      <c r="B33" s="206"/>
      <c r="C33" s="176"/>
      <c r="D33" s="176"/>
      <c r="E33" s="176"/>
      <c r="F33" s="178"/>
      <c r="G33" s="206"/>
      <c r="H33" s="179"/>
      <c r="I33" s="201"/>
      <c r="J33" s="181"/>
      <c r="K33" s="182"/>
      <c r="L33" s="201"/>
      <c r="M33" s="183"/>
      <c r="N33" s="206"/>
      <c r="O33" s="184"/>
      <c r="P33" s="185"/>
      <c r="Q33" s="186"/>
      <c r="R33" s="187"/>
      <c r="S33" s="188"/>
      <c r="T33" s="189"/>
      <c r="U33" s="190"/>
      <c r="V33" s="191"/>
      <c r="W33" s="189"/>
      <c r="X33" s="191"/>
      <c r="Y33" s="70"/>
      <c r="Z33" s="175"/>
      <c r="AA33" s="177"/>
      <c r="AB33" s="175"/>
      <c r="AC33" s="180"/>
      <c r="AD33" s="180"/>
      <c r="AE33" s="180"/>
      <c r="AF33" s="180"/>
      <c r="AG33" s="180"/>
      <c r="AH33" s="180" t="str">
        <f t="shared" si="10"/>
        <v/>
      </c>
      <c r="AI33" s="72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</row>
    <row r="34" ht="18.0" customHeight="1">
      <c r="A34" s="6"/>
      <c r="B34" s="206"/>
      <c r="C34" s="176"/>
      <c r="D34" s="176"/>
      <c r="E34" s="176"/>
      <c r="F34" s="178"/>
      <c r="G34" s="206"/>
      <c r="H34" s="179"/>
      <c r="I34" s="201"/>
      <c r="J34" s="181"/>
      <c r="K34" s="212"/>
      <c r="L34" s="201"/>
      <c r="M34" s="183"/>
      <c r="N34" s="206"/>
      <c r="O34" s="184"/>
      <c r="P34" s="185"/>
      <c r="Q34" s="186"/>
      <c r="R34" s="187"/>
      <c r="S34" s="188"/>
      <c r="T34" s="189"/>
      <c r="U34" s="190"/>
      <c r="V34" s="191"/>
      <c r="W34" s="189"/>
      <c r="X34" s="191"/>
      <c r="Y34" s="70"/>
      <c r="Z34" s="175"/>
      <c r="AA34" s="177"/>
      <c r="AB34" s="175"/>
      <c r="AC34" s="180"/>
      <c r="AD34" s="180"/>
      <c r="AE34" s="180"/>
      <c r="AF34" s="180"/>
      <c r="AG34" s="180"/>
      <c r="AH34" s="180" t="str">
        <f t="shared" si="10"/>
        <v/>
      </c>
      <c r="AI34" s="72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</row>
    <row r="35" ht="18.0" customHeight="1">
      <c r="A35" s="6"/>
      <c r="B35" s="206"/>
      <c r="C35" s="176"/>
      <c r="D35" s="176"/>
      <c r="E35" s="176"/>
      <c r="F35" s="178"/>
      <c r="G35" s="206"/>
      <c r="H35" s="179"/>
      <c r="I35" s="201"/>
      <c r="J35" s="181"/>
      <c r="K35" s="212"/>
      <c r="L35" s="201"/>
      <c r="M35" s="183"/>
      <c r="N35" s="206"/>
      <c r="O35" s="184"/>
      <c r="P35" s="185"/>
      <c r="Q35" s="186"/>
      <c r="R35" s="187"/>
      <c r="S35" s="188"/>
      <c r="T35" s="189"/>
      <c r="U35" s="190"/>
      <c r="V35" s="191"/>
      <c r="W35" s="189"/>
      <c r="X35" s="191"/>
      <c r="Y35" s="70"/>
      <c r="Z35" s="175"/>
      <c r="AA35" s="177"/>
      <c r="AB35" s="175"/>
      <c r="AC35" s="180"/>
      <c r="AD35" s="180"/>
      <c r="AE35" s="180"/>
      <c r="AF35" s="180"/>
      <c r="AG35" s="180"/>
      <c r="AH35" s="180" t="str">
        <f t="shared" si="10"/>
        <v/>
      </c>
      <c r="AI35" s="72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</row>
    <row r="36" ht="18.0" customHeight="1">
      <c r="A36" s="6"/>
      <c r="B36" s="206"/>
      <c r="C36" s="176"/>
      <c r="D36" s="176"/>
      <c r="E36" s="176"/>
      <c r="F36" s="178"/>
      <c r="G36" s="206"/>
      <c r="H36" s="179"/>
      <c r="I36" s="201"/>
      <c r="J36" s="181"/>
      <c r="K36" s="212"/>
      <c r="L36" s="201"/>
      <c r="M36" s="183"/>
      <c r="N36" s="206"/>
      <c r="O36" s="184"/>
      <c r="P36" s="185"/>
      <c r="Q36" s="186"/>
      <c r="R36" s="187"/>
      <c r="S36" s="188"/>
      <c r="T36" s="189"/>
      <c r="U36" s="190"/>
      <c r="V36" s="191"/>
      <c r="W36" s="189"/>
      <c r="X36" s="191"/>
      <c r="Y36" s="70"/>
      <c r="Z36" s="175"/>
      <c r="AA36" s="177"/>
      <c r="AB36" s="175"/>
      <c r="AC36" s="180"/>
      <c r="AD36" s="180"/>
      <c r="AE36" s="180"/>
      <c r="AF36" s="180"/>
      <c r="AG36" s="180"/>
      <c r="AH36" s="180" t="str">
        <f t="shared" si="10"/>
        <v/>
      </c>
      <c r="AI36" s="72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</row>
    <row r="37" ht="18.0" customHeight="1">
      <c r="A37" s="6"/>
      <c r="B37" s="206"/>
      <c r="C37" s="176"/>
      <c r="D37" s="176"/>
      <c r="E37" s="176"/>
      <c r="F37" s="178"/>
      <c r="G37" s="206"/>
      <c r="H37" s="179"/>
      <c r="I37" s="201"/>
      <c r="J37" s="181"/>
      <c r="K37" s="212"/>
      <c r="L37" s="201"/>
      <c r="M37" s="183"/>
      <c r="N37" s="206"/>
      <c r="O37" s="184"/>
      <c r="P37" s="185"/>
      <c r="Q37" s="186"/>
      <c r="R37" s="187"/>
      <c r="S37" s="188"/>
      <c r="T37" s="189"/>
      <c r="U37" s="190"/>
      <c r="V37" s="191"/>
      <c r="W37" s="189"/>
      <c r="X37" s="191"/>
      <c r="Y37" s="70"/>
      <c r="Z37" s="175"/>
      <c r="AA37" s="177"/>
      <c r="AB37" s="175"/>
      <c r="AC37" s="180"/>
      <c r="AD37" s="180"/>
      <c r="AE37" s="180"/>
      <c r="AF37" s="180"/>
      <c r="AG37" s="180"/>
      <c r="AH37" s="180" t="str">
        <f t="shared" si="10"/>
        <v/>
      </c>
      <c r="AI37" s="72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</row>
    <row r="38" ht="18.0" customHeight="1">
      <c r="A38" s="6"/>
      <c r="B38" s="206"/>
      <c r="C38" s="176"/>
      <c r="D38" s="176"/>
      <c r="E38" s="176"/>
      <c r="F38" s="178"/>
      <c r="G38" s="206"/>
      <c r="H38" s="179"/>
      <c r="I38" s="201"/>
      <c r="J38" s="181"/>
      <c r="K38" s="212"/>
      <c r="L38" s="201"/>
      <c r="M38" s="183"/>
      <c r="N38" s="206"/>
      <c r="O38" s="184"/>
      <c r="P38" s="185"/>
      <c r="Q38" s="186"/>
      <c r="R38" s="187"/>
      <c r="S38" s="188"/>
      <c r="T38" s="189"/>
      <c r="U38" s="190"/>
      <c r="V38" s="191"/>
      <c r="W38" s="189"/>
      <c r="X38" s="191"/>
      <c r="Y38" s="70"/>
      <c r="Z38" s="175"/>
      <c r="AA38" s="177"/>
      <c r="AB38" s="175"/>
      <c r="AC38" s="180"/>
      <c r="AD38" s="180"/>
      <c r="AE38" s="180"/>
      <c r="AF38" s="180"/>
      <c r="AG38" s="180"/>
      <c r="AH38" s="180" t="str">
        <f t="shared" si="10"/>
        <v/>
      </c>
      <c r="AI38" s="72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ht="18.0" customHeight="1">
      <c r="A39" s="6"/>
      <c r="B39" s="206"/>
      <c r="C39" s="176"/>
      <c r="D39" s="176"/>
      <c r="E39" s="176"/>
      <c r="F39" s="178"/>
      <c r="G39" s="206"/>
      <c r="H39" s="179"/>
      <c r="I39" s="201"/>
      <c r="J39" s="181"/>
      <c r="K39" s="212"/>
      <c r="L39" s="201"/>
      <c r="M39" s="183"/>
      <c r="N39" s="175"/>
      <c r="O39" s="184"/>
      <c r="P39" s="185"/>
      <c r="Q39" s="186"/>
      <c r="R39" s="187"/>
      <c r="S39" s="188"/>
      <c r="T39" s="189"/>
      <c r="U39" s="190"/>
      <c r="V39" s="191"/>
      <c r="W39" s="189"/>
      <c r="X39" s="191"/>
      <c r="Y39" s="70"/>
      <c r="Z39" s="175"/>
      <c r="AA39" s="177"/>
      <c r="AB39" s="175"/>
      <c r="AC39" s="180"/>
      <c r="AD39" s="180"/>
      <c r="AE39" s="180"/>
      <c r="AF39" s="180"/>
      <c r="AG39" s="180"/>
      <c r="AH39" s="180" t="str">
        <f t="shared" si="10"/>
        <v/>
      </c>
      <c r="AI39" s="72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</row>
    <row r="40" ht="18.0" customHeight="1">
      <c r="A40" s="6"/>
      <c r="B40" s="206"/>
      <c r="C40" s="176"/>
      <c r="D40" s="176"/>
      <c r="E40" s="176"/>
      <c r="F40" s="178"/>
      <c r="G40" s="206"/>
      <c r="H40" s="179"/>
      <c r="I40" s="201"/>
      <c r="J40" s="181"/>
      <c r="K40" s="212"/>
      <c r="L40" s="201"/>
      <c r="M40" s="183"/>
      <c r="N40" s="206"/>
      <c r="O40" s="184"/>
      <c r="P40" s="185"/>
      <c r="Q40" s="186"/>
      <c r="R40" s="187"/>
      <c r="S40" s="188"/>
      <c r="T40" s="189"/>
      <c r="U40" s="190"/>
      <c r="V40" s="191"/>
      <c r="W40" s="189"/>
      <c r="X40" s="191"/>
      <c r="Y40" s="70"/>
      <c r="Z40" s="175"/>
      <c r="AA40" s="177"/>
      <c r="AB40" s="175"/>
      <c r="AC40" s="180"/>
      <c r="AD40" s="180"/>
      <c r="AE40" s="180"/>
      <c r="AF40" s="180"/>
      <c r="AG40" s="180"/>
      <c r="AH40" s="180" t="str">
        <f t="shared" si="10"/>
        <v/>
      </c>
      <c r="AI40" s="72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</row>
    <row r="41" ht="18.0" customHeight="1">
      <c r="A41" s="6"/>
      <c r="B41" s="206"/>
      <c r="C41" s="176"/>
      <c r="D41" s="176"/>
      <c r="E41" s="176"/>
      <c r="F41" s="178"/>
      <c r="G41" s="206"/>
      <c r="H41" s="179"/>
      <c r="I41" s="201"/>
      <c r="J41" s="181"/>
      <c r="K41" s="212"/>
      <c r="L41" s="201"/>
      <c r="M41" s="183"/>
      <c r="N41" s="206"/>
      <c r="O41" s="184"/>
      <c r="P41" s="185"/>
      <c r="Q41" s="186"/>
      <c r="R41" s="187"/>
      <c r="S41" s="188"/>
      <c r="T41" s="189"/>
      <c r="U41" s="190"/>
      <c r="V41" s="191"/>
      <c r="W41" s="189"/>
      <c r="X41" s="191"/>
      <c r="Y41" s="70"/>
      <c r="Z41" s="175"/>
      <c r="AA41" s="177"/>
      <c r="AB41" s="175"/>
      <c r="AC41" s="180"/>
      <c r="AD41" s="180"/>
      <c r="AE41" s="180"/>
      <c r="AF41" s="180"/>
      <c r="AG41" s="180"/>
      <c r="AH41" s="180" t="str">
        <f t="shared" si="10"/>
        <v/>
      </c>
      <c r="AI41" s="72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</row>
    <row r="42" ht="18.0" customHeight="1">
      <c r="A42" s="6"/>
      <c r="B42" s="206"/>
      <c r="C42" s="176"/>
      <c r="D42" s="176"/>
      <c r="E42" s="176"/>
      <c r="F42" s="178"/>
      <c r="G42" s="206"/>
      <c r="H42" s="179"/>
      <c r="I42" s="201"/>
      <c r="J42" s="181"/>
      <c r="K42" s="212"/>
      <c r="L42" s="201"/>
      <c r="M42" s="183"/>
      <c r="N42" s="175"/>
      <c r="O42" s="184"/>
      <c r="P42" s="185"/>
      <c r="Q42" s="186"/>
      <c r="R42" s="187"/>
      <c r="S42" s="188"/>
      <c r="T42" s="189"/>
      <c r="U42" s="190"/>
      <c r="V42" s="191"/>
      <c r="W42" s="189"/>
      <c r="X42" s="191"/>
      <c r="Y42" s="70"/>
      <c r="Z42" s="175"/>
      <c r="AA42" s="177"/>
      <c r="AB42" s="175"/>
      <c r="AC42" s="180"/>
      <c r="AD42" s="180"/>
      <c r="AE42" s="180"/>
      <c r="AF42" s="180"/>
      <c r="AG42" s="180"/>
      <c r="AH42" s="180" t="str">
        <f t="shared" si="10"/>
        <v/>
      </c>
      <c r="AI42" s="72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</row>
    <row r="43" ht="18.0" customHeight="1">
      <c r="A43" s="6"/>
      <c r="B43" s="206"/>
      <c r="C43" s="176"/>
      <c r="D43" s="176"/>
      <c r="E43" s="176"/>
      <c r="F43" s="178"/>
      <c r="G43" s="206"/>
      <c r="H43" s="179"/>
      <c r="I43" s="201"/>
      <c r="J43" s="181"/>
      <c r="K43" s="212"/>
      <c r="L43" s="201"/>
      <c r="M43" s="183"/>
      <c r="N43" s="206"/>
      <c r="O43" s="184"/>
      <c r="P43" s="185"/>
      <c r="Q43" s="186"/>
      <c r="R43" s="187"/>
      <c r="S43" s="188"/>
      <c r="T43" s="189"/>
      <c r="U43" s="190"/>
      <c r="V43" s="191"/>
      <c r="W43" s="189"/>
      <c r="X43" s="191"/>
      <c r="Y43" s="70"/>
      <c r="Z43" s="175"/>
      <c r="AA43" s="177"/>
      <c r="AB43" s="175"/>
      <c r="AC43" s="180"/>
      <c r="AD43" s="180"/>
      <c r="AE43" s="180"/>
      <c r="AF43" s="180"/>
      <c r="AG43" s="180"/>
      <c r="AH43" s="180" t="str">
        <f t="shared" si="10"/>
        <v/>
      </c>
      <c r="AI43" s="72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ht="18.0" customHeight="1">
      <c r="A44" s="6"/>
      <c r="B44" s="206"/>
      <c r="C44" s="176"/>
      <c r="D44" s="176"/>
      <c r="E44" s="176"/>
      <c r="F44" s="178"/>
      <c r="G44" s="206"/>
      <c r="H44" s="179"/>
      <c r="I44" s="201"/>
      <c r="J44" s="181"/>
      <c r="K44" s="182"/>
      <c r="L44" s="201"/>
      <c r="M44" s="183"/>
      <c r="N44" s="206"/>
      <c r="O44" s="184"/>
      <c r="P44" s="185"/>
      <c r="Q44" s="186"/>
      <c r="R44" s="187"/>
      <c r="S44" s="188"/>
      <c r="T44" s="189"/>
      <c r="U44" s="190"/>
      <c r="V44" s="191"/>
      <c r="W44" s="189"/>
      <c r="X44" s="191"/>
      <c r="Y44" s="70"/>
      <c r="Z44" s="175"/>
      <c r="AA44" s="177"/>
      <c r="AB44" s="175"/>
      <c r="AC44" s="180"/>
      <c r="AD44" s="180"/>
      <c r="AE44" s="180"/>
      <c r="AF44" s="180"/>
      <c r="AG44" s="180"/>
      <c r="AH44" s="180" t="str">
        <f t="shared" si="10"/>
        <v/>
      </c>
      <c r="AI44" s="72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ht="18.0" customHeight="1">
      <c r="A45" s="6"/>
      <c r="B45" s="206"/>
      <c r="C45" s="176"/>
      <c r="D45" s="176"/>
      <c r="E45" s="176"/>
      <c r="F45" s="178"/>
      <c r="G45" s="206"/>
      <c r="H45" s="179"/>
      <c r="I45" s="201"/>
      <c r="J45" s="181"/>
      <c r="K45" s="182"/>
      <c r="L45" s="201"/>
      <c r="M45" s="183"/>
      <c r="N45" s="206"/>
      <c r="O45" s="184"/>
      <c r="P45" s="185"/>
      <c r="Q45" s="186"/>
      <c r="R45" s="187"/>
      <c r="S45" s="188"/>
      <c r="T45" s="189"/>
      <c r="U45" s="190"/>
      <c r="V45" s="191"/>
      <c r="W45" s="189"/>
      <c r="X45" s="191"/>
      <c r="Y45" s="70"/>
      <c r="Z45" s="175"/>
      <c r="AA45" s="177"/>
      <c r="AB45" s="175"/>
      <c r="AC45" s="180"/>
      <c r="AD45" s="180"/>
      <c r="AE45" s="180"/>
      <c r="AF45" s="180"/>
      <c r="AG45" s="180"/>
      <c r="AH45" s="180" t="str">
        <f t="shared" si="10"/>
        <v/>
      </c>
      <c r="AI45" s="72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ht="18.0" customHeight="1">
      <c r="A46" s="6"/>
      <c r="B46" s="206"/>
      <c r="C46" s="176"/>
      <c r="D46" s="176"/>
      <c r="E46" s="176"/>
      <c r="F46" s="178"/>
      <c r="G46" s="206"/>
      <c r="H46" s="179"/>
      <c r="I46" s="201"/>
      <c r="J46" s="181"/>
      <c r="K46" s="212"/>
      <c r="L46" s="201"/>
      <c r="M46" s="183"/>
      <c r="N46" s="206"/>
      <c r="O46" s="184"/>
      <c r="P46" s="185"/>
      <c r="Q46" s="186"/>
      <c r="R46" s="187"/>
      <c r="S46" s="188"/>
      <c r="T46" s="189"/>
      <c r="U46" s="190"/>
      <c r="V46" s="191"/>
      <c r="W46" s="189"/>
      <c r="X46" s="191"/>
      <c r="Y46" s="70"/>
      <c r="Z46" s="175"/>
      <c r="AA46" s="177"/>
      <c r="AB46" s="175"/>
      <c r="AC46" s="180"/>
      <c r="AD46" s="180"/>
      <c r="AE46" s="180"/>
      <c r="AF46" s="180"/>
      <c r="AG46" s="180"/>
      <c r="AH46" s="180" t="str">
        <f t="shared" si="10"/>
        <v/>
      </c>
      <c r="AI46" s="72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</row>
    <row r="47" ht="18.0" customHeight="1">
      <c r="A47" s="6"/>
      <c r="B47" s="206"/>
      <c r="C47" s="176"/>
      <c r="D47" s="176"/>
      <c r="E47" s="176"/>
      <c r="F47" s="178"/>
      <c r="G47" s="206"/>
      <c r="H47" s="179"/>
      <c r="I47" s="201"/>
      <c r="J47" s="181"/>
      <c r="K47" s="212"/>
      <c r="L47" s="201"/>
      <c r="M47" s="183"/>
      <c r="N47" s="206"/>
      <c r="O47" s="184"/>
      <c r="P47" s="185"/>
      <c r="Q47" s="186"/>
      <c r="R47" s="187"/>
      <c r="S47" s="188"/>
      <c r="T47" s="189"/>
      <c r="U47" s="190"/>
      <c r="V47" s="191"/>
      <c r="W47" s="189"/>
      <c r="X47" s="191"/>
      <c r="Y47" s="70"/>
      <c r="Z47" s="175"/>
      <c r="AA47" s="177"/>
      <c r="AB47" s="175"/>
      <c r="AC47" s="180"/>
      <c r="AD47" s="180"/>
      <c r="AE47" s="180"/>
      <c r="AF47" s="180"/>
      <c r="AG47" s="180"/>
      <c r="AH47" s="180" t="str">
        <f t="shared" si="10"/>
        <v/>
      </c>
      <c r="AI47" s="72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</row>
    <row r="48" ht="18.0" customHeight="1">
      <c r="A48" s="6"/>
      <c r="B48" s="206"/>
      <c r="C48" s="176"/>
      <c r="D48" s="176"/>
      <c r="E48" s="176"/>
      <c r="F48" s="178"/>
      <c r="G48" s="206"/>
      <c r="H48" s="179"/>
      <c r="I48" s="201"/>
      <c r="J48" s="181"/>
      <c r="K48" s="212"/>
      <c r="L48" s="201"/>
      <c r="M48" s="183"/>
      <c r="N48" s="206"/>
      <c r="O48" s="184"/>
      <c r="P48" s="185"/>
      <c r="Q48" s="186"/>
      <c r="R48" s="187"/>
      <c r="S48" s="188"/>
      <c r="T48" s="189"/>
      <c r="U48" s="190"/>
      <c r="V48" s="191"/>
      <c r="W48" s="189"/>
      <c r="X48" s="191"/>
      <c r="Y48" s="70"/>
      <c r="Z48" s="175"/>
      <c r="AA48" s="177"/>
      <c r="AB48" s="175"/>
      <c r="AC48" s="180"/>
      <c r="AD48" s="180"/>
      <c r="AE48" s="180"/>
      <c r="AF48" s="180"/>
      <c r="AG48" s="180"/>
      <c r="AH48" s="180" t="str">
        <f t="shared" si="10"/>
        <v/>
      </c>
      <c r="AI48" s="72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</row>
    <row r="49" ht="18.0" customHeight="1">
      <c r="A49" s="6"/>
      <c r="B49" s="206"/>
      <c r="C49" s="176"/>
      <c r="D49" s="176"/>
      <c r="E49" s="176"/>
      <c r="F49" s="178"/>
      <c r="G49" s="206"/>
      <c r="H49" s="179"/>
      <c r="I49" s="201"/>
      <c r="J49" s="181"/>
      <c r="K49" s="212"/>
      <c r="L49" s="201"/>
      <c r="M49" s="183"/>
      <c r="N49" s="206"/>
      <c r="O49" s="184"/>
      <c r="P49" s="185"/>
      <c r="Q49" s="186"/>
      <c r="R49" s="187"/>
      <c r="S49" s="188"/>
      <c r="T49" s="189"/>
      <c r="U49" s="190"/>
      <c r="V49" s="191"/>
      <c r="W49" s="189"/>
      <c r="X49" s="191"/>
      <c r="Y49" s="70"/>
      <c r="Z49" s="175"/>
      <c r="AA49" s="177"/>
      <c r="AB49" s="175"/>
      <c r="AC49" s="180"/>
      <c r="AD49" s="180"/>
      <c r="AE49" s="180"/>
      <c r="AF49" s="180"/>
      <c r="AG49" s="180"/>
      <c r="AH49" s="180" t="str">
        <f t="shared" si="10"/>
        <v/>
      </c>
      <c r="AI49" s="72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</row>
    <row r="50" ht="18.0" customHeight="1">
      <c r="A50" s="6"/>
      <c r="B50" s="206"/>
      <c r="C50" s="176"/>
      <c r="D50" s="176"/>
      <c r="E50" s="176"/>
      <c r="F50" s="178"/>
      <c r="G50" s="206"/>
      <c r="H50" s="179"/>
      <c r="I50" s="201"/>
      <c r="J50" s="181"/>
      <c r="K50" s="212"/>
      <c r="L50" s="201"/>
      <c r="M50" s="183"/>
      <c r="N50" s="206"/>
      <c r="O50" s="184"/>
      <c r="P50" s="185"/>
      <c r="Q50" s="186"/>
      <c r="R50" s="187"/>
      <c r="S50" s="188"/>
      <c r="T50" s="189"/>
      <c r="U50" s="190"/>
      <c r="V50" s="191"/>
      <c r="W50" s="189"/>
      <c r="X50" s="191"/>
      <c r="Y50" s="70"/>
      <c r="Z50" s="175"/>
      <c r="AA50" s="177"/>
      <c r="AB50" s="175"/>
      <c r="AC50" s="180"/>
      <c r="AD50" s="180"/>
      <c r="AE50" s="180"/>
      <c r="AF50" s="180"/>
      <c r="AG50" s="180"/>
      <c r="AH50" s="180" t="str">
        <f t="shared" si="10"/>
        <v/>
      </c>
      <c r="AI50" s="72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</row>
    <row r="51" ht="18.0" customHeight="1">
      <c r="A51" s="6"/>
      <c r="B51" s="206"/>
      <c r="C51" s="176"/>
      <c r="D51" s="176"/>
      <c r="E51" s="176"/>
      <c r="F51" s="178"/>
      <c r="G51" s="206"/>
      <c r="H51" s="179"/>
      <c r="I51" s="201"/>
      <c r="J51" s="181"/>
      <c r="K51" s="212"/>
      <c r="L51" s="201"/>
      <c r="M51" s="183"/>
      <c r="N51" s="206"/>
      <c r="O51" s="184"/>
      <c r="P51" s="185"/>
      <c r="Q51" s="186"/>
      <c r="R51" s="187"/>
      <c r="S51" s="188"/>
      <c r="T51" s="189"/>
      <c r="U51" s="190"/>
      <c r="V51" s="191"/>
      <c r="W51" s="189"/>
      <c r="X51" s="191"/>
      <c r="Y51" s="70"/>
      <c r="Z51" s="175"/>
      <c r="AA51" s="177"/>
      <c r="AB51" s="175"/>
      <c r="AC51" s="180"/>
      <c r="AD51" s="180"/>
      <c r="AE51" s="180"/>
      <c r="AF51" s="180"/>
      <c r="AG51" s="180"/>
      <c r="AH51" s="180" t="str">
        <f t="shared" si="10"/>
        <v/>
      </c>
      <c r="AI51" s="72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</row>
    <row r="52" ht="18.0" customHeight="1">
      <c r="A52" s="6"/>
      <c r="B52" s="206"/>
      <c r="C52" s="176"/>
      <c r="D52" s="176"/>
      <c r="E52" s="176"/>
      <c r="F52" s="178"/>
      <c r="G52" s="206"/>
      <c r="H52" s="179"/>
      <c r="I52" s="201"/>
      <c r="J52" s="181"/>
      <c r="K52" s="212"/>
      <c r="L52" s="201"/>
      <c r="M52" s="183"/>
      <c r="N52" s="206"/>
      <c r="O52" s="184"/>
      <c r="P52" s="185"/>
      <c r="Q52" s="186"/>
      <c r="R52" s="187"/>
      <c r="S52" s="188"/>
      <c r="T52" s="189"/>
      <c r="U52" s="190"/>
      <c r="V52" s="191"/>
      <c r="W52" s="189"/>
      <c r="X52" s="191"/>
      <c r="Y52" s="70"/>
      <c r="Z52" s="175"/>
      <c r="AA52" s="177"/>
      <c r="AB52" s="175"/>
      <c r="AC52" s="180"/>
      <c r="AD52" s="180"/>
      <c r="AE52" s="180"/>
      <c r="AF52" s="180"/>
      <c r="AG52" s="180"/>
      <c r="AH52" s="180" t="str">
        <f t="shared" si="10"/>
        <v/>
      </c>
      <c r="AI52" s="72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</row>
    <row r="53" ht="18.0" customHeight="1">
      <c r="A53" s="6"/>
      <c r="B53" s="206"/>
      <c r="C53" s="176"/>
      <c r="D53" s="176"/>
      <c r="E53" s="176"/>
      <c r="F53" s="178"/>
      <c r="G53" s="206"/>
      <c r="H53" s="179"/>
      <c r="I53" s="201"/>
      <c r="J53" s="181"/>
      <c r="K53" s="212"/>
      <c r="L53" s="201"/>
      <c r="M53" s="183"/>
      <c r="N53" s="206"/>
      <c r="O53" s="184"/>
      <c r="P53" s="185"/>
      <c r="Q53" s="186"/>
      <c r="R53" s="187"/>
      <c r="S53" s="188"/>
      <c r="T53" s="189"/>
      <c r="U53" s="190"/>
      <c r="V53" s="191"/>
      <c r="W53" s="189"/>
      <c r="X53" s="191"/>
      <c r="Y53" s="70"/>
      <c r="Z53" s="175"/>
      <c r="AA53" s="177"/>
      <c r="AB53" s="175"/>
      <c r="AC53" s="180"/>
      <c r="AD53" s="180"/>
      <c r="AE53" s="180"/>
      <c r="AF53" s="180"/>
      <c r="AG53" s="180"/>
      <c r="AH53" s="180" t="str">
        <f t="shared" si="10"/>
        <v/>
      </c>
      <c r="AI53" s="72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</row>
    <row r="54" ht="18.0" customHeight="1">
      <c r="A54" s="6"/>
      <c r="B54" s="373"/>
      <c r="C54" s="374"/>
      <c r="D54" s="374"/>
      <c r="E54" s="375"/>
      <c r="F54" s="375"/>
      <c r="G54" s="373"/>
      <c r="H54" s="376"/>
      <c r="I54" s="377"/>
      <c r="J54" s="378"/>
      <c r="K54" s="378"/>
      <c r="L54" s="377"/>
      <c r="M54" s="379"/>
      <c r="N54" s="373"/>
      <c r="O54" s="380"/>
      <c r="P54" s="381"/>
      <c r="Q54" s="382"/>
      <c r="R54" s="383"/>
      <c r="S54" s="382"/>
      <c r="T54" s="384"/>
      <c r="U54" s="385"/>
      <c r="V54" s="385"/>
      <c r="W54" s="385"/>
      <c r="X54" s="385"/>
      <c r="Y54" s="70"/>
      <c r="Z54" s="175"/>
      <c r="AA54" s="177"/>
      <c r="AB54" s="175"/>
      <c r="AC54" s="180"/>
      <c r="AD54" s="180"/>
      <c r="AE54" s="180"/>
      <c r="AF54" s="180"/>
      <c r="AG54" s="180"/>
      <c r="AH54" s="180"/>
      <c r="AI54" s="72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</row>
    <row r="55" ht="18.0" customHeight="1">
      <c r="A55" s="6"/>
      <c r="B55" s="373"/>
      <c r="C55" s="374"/>
      <c r="D55" s="374"/>
      <c r="E55" s="375"/>
      <c r="F55" s="375"/>
      <c r="G55" s="373"/>
      <c r="H55" s="376"/>
      <c r="I55" s="377"/>
      <c r="J55" s="378"/>
      <c r="K55" s="378"/>
      <c r="L55" s="377"/>
      <c r="M55" s="379"/>
      <c r="N55" s="373"/>
      <c r="O55" s="380"/>
      <c r="P55" s="381"/>
      <c r="Q55" s="382"/>
      <c r="R55" s="383"/>
      <c r="S55" s="382"/>
      <c r="T55" s="384"/>
      <c r="U55" s="385"/>
      <c r="V55" s="385"/>
      <c r="W55" s="385"/>
      <c r="X55" s="385"/>
      <c r="Y55" s="70"/>
      <c r="Z55" s="175"/>
      <c r="AA55" s="177"/>
      <c r="AB55" s="175"/>
      <c r="AC55" s="180"/>
      <c r="AD55" s="180"/>
      <c r="AE55" s="180"/>
      <c r="AF55" s="180"/>
      <c r="AG55" s="180"/>
      <c r="AH55" s="180"/>
      <c r="AI55" s="72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</row>
    <row r="56" ht="18.0" customHeight="1">
      <c r="A56" s="6"/>
      <c r="B56" s="373"/>
      <c r="C56" s="374"/>
      <c r="D56" s="374"/>
      <c r="E56" s="375"/>
      <c r="F56" s="375"/>
      <c r="G56" s="373"/>
      <c r="H56" s="376"/>
      <c r="I56" s="377"/>
      <c r="J56" s="378"/>
      <c r="K56" s="378"/>
      <c r="L56" s="377"/>
      <c r="M56" s="379"/>
      <c r="N56" s="373"/>
      <c r="O56" s="380"/>
      <c r="P56" s="381"/>
      <c r="Q56" s="382"/>
      <c r="R56" s="383"/>
      <c r="S56" s="382"/>
      <c r="T56" s="384"/>
      <c r="U56" s="385"/>
      <c r="V56" s="385"/>
      <c r="W56" s="385"/>
      <c r="X56" s="385"/>
      <c r="Y56" s="70"/>
      <c r="Z56" s="175"/>
      <c r="AA56" s="177"/>
      <c r="AB56" s="175"/>
      <c r="AC56" s="180"/>
      <c r="AD56" s="180"/>
      <c r="AE56" s="180"/>
      <c r="AF56" s="180"/>
      <c r="AG56" s="180"/>
      <c r="AH56" s="180"/>
      <c r="AI56" s="72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</row>
    <row r="57" ht="18.0" customHeight="1">
      <c r="A57" s="6"/>
      <c r="B57" s="373"/>
      <c r="C57" s="374"/>
      <c r="D57" s="374"/>
      <c r="E57" s="375"/>
      <c r="F57" s="375"/>
      <c r="G57" s="373"/>
      <c r="H57" s="376"/>
      <c r="I57" s="377"/>
      <c r="J57" s="378"/>
      <c r="K57" s="378"/>
      <c r="L57" s="377"/>
      <c r="M57" s="379"/>
      <c r="N57" s="373"/>
      <c r="O57" s="380"/>
      <c r="P57" s="381"/>
      <c r="Q57" s="382"/>
      <c r="R57" s="383"/>
      <c r="S57" s="382"/>
      <c r="T57" s="384"/>
      <c r="U57" s="385"/>
      <c r="V57" s="385"/>
      <c r="W57" s="385"/>
      <c r="X57" s="385"/>
      <c r="Y57" s="70"/>
      <c r="Z57" s="175"/>
      <c r="AA57" s="177"/>
      <c r="AB57" s="175"/>
      <c r="AC57" s="180"/>
      <c r="AD57" s="180"/>
      <c r="AE57" s="180"/>
      <c r="AF57" s="180"/>
      <c r="AG57" s="180"/>
      <c r="AH57" s="180"/>
      <c r="AI57" s="72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</row>
    <row r="58" ht="18.0" customHeight="1">
      <c r="A58" s="6"/>
      <c r="B58" s="373"/>
      <c r="C58" s="374"/>
      <c r="D58" s="374"/>
      <c r="E58" s="375"/>
      <c r="F58" s="375"/>
      <c r="G58" s="373"/>
      <c r="H58" s="376"/>
      <c r="I58" s="377"/>
      <c r="J58" s="378"/>
      <c r="K58" s="378"/>
      <c r="L58" s="377"/>
      <c r="M58" s="379"/>
      <c r="N58" s="373"/>
      <c r="O58" s="380"/>
      <c r="P58" s="381"/>
      <c r="Q58" s="382"/>
      <c r="R58" s="383"/>
      <c r="S58" s="382"/>
      <c r="T58" s="384"/>
      <c r="U58" s="385"/>
      <c r="V58" s="385"/>
      <c r="W58" s="385"/>
      <c r="X58" s="385"/>
      <c r="Y58" s="70"/>
      <c r="Z58" s="175"/>
      <c r="AA58" s="177"/>
      <c r="AB58" s="175"/>
      <c r="AC58" s="180"/>
      <c r="AD58" s="180"/>
      <c r="AE58" s="180"/>
      <c r="AF58" s="180"/>
      <c r="AG58" s="180"/>
      <c r="AH58" s="180"/>
      <c r="AI58" s="72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</row>
    <row r="59" ht="18.0" customHeight="1">
      <c r="A59" s="6"/>
      <c r="B59" s="373"/>
      <c r="C59" s="374"/>
      <c r="D59" s="374"/>
      <c r="E59" s="375"/>
      <c r="F59" s="375"/>
      <c r="G59" s="373"/>
      <c r="H59" s="376"/>
      <c r="I59" s="377"/>
      <c r="J59" s="378"/>
      <c r="K59" s="378"/>
      <c r="L59" s="377"/>
      <c r="M59" s="379"/>
      <c r="N59" s="373"/>
      <c r="O59" s="380"/>
      <c r="P59" s="381"/>
      <c r="Q59" s="382"/>
      <c r="R59" s="383"/>
      <c r="S59" s="382"/>
      <c r="T59" s="384"/>
      <c r="U59" s="385"/>
      <c r="V59" s="385"/>
      <c r="W59" s="385"/>
      <c r="X59" s="385"/>
      <c r="Y59" s="70"/>
      <c r="Z59" s="175"/>
      <c r="AA59" s="177"/>
      <c r="AB59" s="175"/>
      <c r="AC59" s="180"/>
      <c r="AD59" s="180"/>
      <c r="AE59" s="180"/>
      <c r="AF59" s="180"/>
      <c r="AG59" s="180"/>
      <c r="AH59" s="180"/>
      <c r="AI59" s="72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</row>
    <row r="60" ht="18.0" customHeight="1">
      <c r="A60" s="6"/>
      <c r="B60" s="373"/>
      <c r="C60" s="374"/>
      <c r="D60" s="374"/>
      <c r="E60" s="375"/>
      <c r="F60" s="375"/>
      <c r="G60" s="373"/>
      <c r="H60" s="376"/>
      <c r="I60" s="377"/>
      <c r="J60" s="378"/>
      <c r="K60" s="378"/>
      <c r="L60" s="377"/>
      <c r="M60" s="379"/>
      <c r="N60" s="373"/>
      <c r="O60" s="380"/>
      <c r="P60" s="381"/>
      <c r="Q60" s="382"/>
      <c r="R60" s="383"/>
      <c r="S60" s="382"/>
      <c r="T60" s="384"/>
      <c r="U60" s="385"/>
      <c r="V60" s="385"/>
      <c r="W60" s="385"/>
      <c r="X60" s="385"/>
      <c r="Y60" s="70"/>
      <c r="Z60" s="175"/>
      <c r="AA60" s="177"/>
      <c r="AB60" s="175"/>
      <c r="AC60" s="180"/>
      <c r="AD60" s="180"/>
      <c r="AE60" s="180"/>
      <c r="AF60" s="180"/>
      <c r="AG60" s="180"/>
      <c r="AH60" s="180"/>
      <c r="AI60" s="72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</row>
    <row r="61" ht="18.0" customHeight="1">
      <c r="A61" s="6"/>
      <c r="B61" s="373"/>
      <c r="C61" s="374"/>
      <c r="D61" s="374"/>
      <c r="E61" s="375"/>
      <c r="F61" s="375"/>
      <c r="G61" s="373"/>
      <c r="H61" s="376"/>
      <c r="I61" s="377"/>
      <c r="J61" s="378"/>
      <c r="K61" s="378"/>
      <c r="L61" s="377"/>
      <c r="M61" s="379"/>
      <c r="N61" s="373"/>
      <c r="O61" s="380"/>
      <c r="P61" s="381"/>
      <c r="Q61" s="382"/>
      <c r="R61" s="383"/>
      <c r="S61" s="382"/>
      <c r="T61" s="384"/>
      <c r="U61" s="385"/>
      <c r="V61" s="385"/>
      <c r="W61" s="385"/>
      <c r="X61" s="385"/>
      <c r="Y61" s="70"/>
      <c r="Z61" s="175"/>
      <c r="AA61" s="177"/>
      <c r="AB61" s="175"/>
      <c r="AC61" s="180"/>
      <c r="AD61" s="180"/>
      <c r="AE61" s="180"/>
      <c r="AF61" s="180"/>
      <c r="AG61" s="180"/>
      <c r="AH61" s="180"/>
      <c r="AI61" s="72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</row>
    <row r="62" ht="18.0" customHeight="1">
      <c r="A62" s="6"/>
      <c r="B62" s="373"/>
      <c r="C62" s="374"/>
      <c r="D62" s="374"/>
      <c r="E62" s="375"/>
      <c r="F62" s="375"/>
      <c r="G62" s="373"/>
      <c r="H62" s="376"/>
      <c r="I62" s="377"/>
      <c r="J62" s="378"/>
      <c r="K62" s="378"/>
      <c r="L62" s="377"/>
      <c r="M62" s="379"/>
      <c r="N62" s="373"/>
      <c r="O62" s="380"/>
      <c r="P62" s="381"/>
      <c r="Q62" s="382"/>
      <c r="R62" s="383"/>
      <c r="S62" s="382"/>
      <c r="T62" s="384"/>
      <c r="U62" s="385"/>
      <c r="V62" s="385"/>
      <c r="W62" s="385"/>
      <c r="X62" s="385"/>
      <c r="Y62" s="70"/>
      <c r="Z62" s="175"/>
      <c r="AA62" s="177"/>
      <c r="AB62" s="175"/>
      <c r="AC62" s="180"/>
      <c r="AD62" s="180"/>
      <c r="AE62" s="180"/>
      <c r="AF62" s="180"/>
      <c r="AG62" s="180"/>
      <c r="AH62" s="180"/>
      <c r="AI62" s="72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</row>
    <row r="63" ht="18.0" customHeight="1">
      <c r="A63" s="6"/>
      <c r="B63" s="373"/>
      <c r="C63" s="374"/>
      <c r="D63" s="374"/>
      <c r="E63" s="375"/>
      <c r="F63" s="375"/>
      <c r="G63" s="373"/>
      <c r="H63" s="376"/>
      <c r="I63" s="377"/>
      <c r="J63" s="378"/>
      <c r="K63" s="378"/>
      <c r="L63" s="377"/>
      <c r="M63" s="379"/>
      <c r="N63" s="373"/>
      <c r="O63" s="380"/>
      <c r="P63" s="381"/>
      <c r="Q63" s="382"/>
      <c r="R63" s="383"/>
      <c r="S63" s="382"/>
      <c r="T63" s="384"/>
      <c r="U63" s="385"/>
      <c r="V63" s="385"/>
      <c r="W63" s="385"/>
      <c r="X63" s="385"/>
      <c r="Y63" s="70"/>
      <c r="Z63" s="175"/>
      <c r="AA63" s="177"/>
      <c r="AB63" s="175"/>
      <c r="AC63" s="180"/>
      <c r="AD63" s="180"/>
      <c r="AE63" s="180"/>
      <c r="AF63" s="180"/>
      <c r="AG63" s="180"/>
      <c r="AH63" s="180"/>
      <c r="AI63" s="72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</row>
    <row r="64" ht="18.0" customHeight="1">
      <c r="A64" s="6"/>
      <c r="B64" s="373"/>
      <c r="C64" s="374"/>
      <c r="D64" s="374"/>
      <c r="E64" s="375"/>
      <c r="F64" s="375"/>
      <c r="G64" s="373"/>
      <c r="H64" s="376"/>
      <c r="I64" s="377"/>
      <c r="J64" s="378"/>
      <c r="K64" s="378"/>
      <c r="L64" s="377"/>
      <c r="M64" s="379"/>
      <c r="N64" s="373"/>
      <c r="O64" s="380"/>
      <c r="P64" s="381"/>
      <c r="Q64" s="382"/>
      <c r="R64" s="383"/>
      <c r="S64" s="382"/>
      <c r="T64" s="384"/>
      <c r="U64" s="385"/>
      <c r="V64" s="385"/>
      <c r="W64" s="385"/>
      <c r="X64" s="385"/>
      <c r="Y64" s="70"/>
      <c r="Z64" s="175"/>
      <c r="AA64" s="177"/>
      <c r="AB64" s="175"/>
      <c r="AC64" s="180"/>
      <c r="AD64" s="180"/>
      <c r="AE64" s="180"/>
      <c r="AF64" s="180"/>
      <c r="AG64" s="180"/>
      <c r="AH64" s="180"/>
      <c r="AI64" s="72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</row>
    <row r="65" ht="18.0" customHeight="1">
      <c r="A65" s="6"/>
      <c r="B65" s="373"/>
      <c r="C65" s="374"/>
      <c r="D65" s="374"/>
      <c r="E65" s="375"/>
      <c r="F65" s="375"/>
      <c r="G65" s="373"/>
      <c r="H65" s="376"/>
      <c r="I65" s="377"/>
      <c r="J65" s="378"/>
      <c r="K65" s="378"/>
      <c r="L65" s="377"/>
      <c r="M65" s="379"/>
      <c r="N65" s="373"/>
      <c r="O65" s="380"/>
      <c r="P65" s="381"/>
      <c r="Q65" s="382"/>
      <c r="R65" s="383"/>
      <c r="S65" s="382"/>
      <c r="T65" s="384"/>
      <c r="U65" s="385"/>
      <c r="V65" s="385"/>
      <c r="W65" s="385"/>
      <c r="X65" s="385"/>
      <c r="Y65" s="70"/>
      <c r="Z65" s="175"/>
      <c r="AA65" s="177"/>
      <c r="AB65" s="175"/>
      <c r="AC65" s="180"/>
      <c r="AD65" s="180"/>
      <c r="AE65" s="180"/>
      <c r="AF65" s="180"/>
      <c r="AG65" s="180"/>
      <c r="AH65" s="180"/>
      <c r="AI65" s="72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</row>
    <row r="66" ht="18.0" customHeight="1">
      <c r="A66" s="6"/>
      <c r="B66" s="373"/>
      <c r="C66" s="374"/>
      <c r="D66" s="374"/>
      <c r="E66" s="375"/>
      <c r="F66" s="375"/>
      <c r="G66" s="373"/>
      <c r="H66" s="376"/>
      <c r="I66" s="377"/>
      <c r="J66" s="378"/>
      <c r="K66" s="378"/>
      <c r="L66" s="377"/>
      <c r="M66" s="379"/>
      <c r="N66" s="373"/>
      <c r="O66" s="380"/>
      <c r="P66" s="381"/>
      <c r="Q66" s="382"/>
      <c r="R66" s="383"/>
      <c r="S66" s="382"/>
      <c r="T66" s="384"/>
      <c r="U66" s="385"/>
      <c r="V66" s="385"/>
      <c r="W66" s="385"/>
      <c r="X66" s="385"/>
      <c r="Y66" s="70"/>
      <c r="Z66" s="175"/>
      <c r="AA66" s="177"/>
      <c r="AB66" s="175"/>
      <c r="AC66" s="180"/>
      <c r="AD66" s="180"/>
      <c r="AE66" s="180"/>
      <c r="AF66" s="180"/>
      <c r="AG66" s="180"/>
      <c r="AH66" s="180"/>
      <c r="AI66" s="72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</row>
    <row r="67" ht="18.0" customHeight="1">
      <c r="A67" s="6"/>
      <c r="B67" s="373"/>
      <c r="C67" s="374"/>
      <c r="D67" s="374"/>
      <c r="E67" s="375"/>
      <c r="F67" s="375"/>
      <c r="G67" s="373"/>
      <c r="H67" s="376"/>
      <c r="I67" s="377"/>
      <c r="J67" s="378"/>
      <c r="K67" s="378"/>
      <c r="L67" s="377"/>
      <c r="M67" s="379"/>
      <c r="N67" s="373"/>
      <c r="O67" s="380"/>
      <c r="P67" s="381"/>
      <c r="Q67" s="382"/>
      <c r="R67" s="383"/>
      <c r="S67" s="382"/>
      <c r="T67" s="384"/>
      <c r="U67" s="385"/>
      <c r="V67" s="385"/>
      <c r="W67" s="385"/>
      <c r="X67" s="385"/>
      <c r="Y67" s="70"/>
      <c r="Z67" s="175"/>
      <c r="AA67" s="177"/>
      <c r="AB67" s="175"/>
      <c r="AC67" s="180"/>
      <c r="AD67" s="180"/>
      <c r="AE67" s="180"/>
      <c r="AF67" s="180"/>
      <c r="AG67" s="180"/>
      <c r="AH67" s="180"/>
      <c r="AI67" s="72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</row>
    <row r="68" ht="18.0" customHeight="1">
      <c r="A68" s="6"/>
      <c r="B68" s="373"/>
      <c r="C68" s="374"/>
      <c r="D68" s="374"/>
      <c r="E68" s="375"/>
      <c r="F68" s="375"/>
      <c r="G68" s="373"/>
      <c r="H68" s="376"/>
      <c r="I68" s="377"/>
      <c r="J68" s="378"/>
      <c r="K68" s="378"/>
      <c r="L68" s="377"/>
      <c r="M68" s="379"/>
      <c r="N68" s="373"/>
      <c r="O68" s="380"/>
      <c r="P68" s="381"/>
      <c r="Q68" s="382"/>
      <c r="R68" s="383"/>
      <c r="S68" s="382"/>
      <c r="T68" s="384"/>
      <c r="U68" s="385"/>
      <c r="V68" s="385"/>
      <c r="W68" s="385"/>
      <c r="X68" s="385"/>
      <c r="Y68" s="70"/>
      <c r="Z68" s="175"/>
      <c r="AA68" s="177"/>
      <c r="AB68" s="175"/>
      <c r="AC68" s="180"/>
      <c r="AD68" s="180"/>
      <c r="AE68" s="180"/>
      <c r="AF68" s="180"/>
      <c r="AG68" s="180"/>
      <c r="AH68" s="180"/>
      <c r="AI68" s="72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</row>
    <row r="69" ht="18.0" customHeight="1">
      <c r="A69" s="6"/>
      <c r="B69" s="373"/>
      <c r="C69" s="374"/>
      <c r="D69" s="374"/>
      <c r="E69" s="375"/>
      <c r="F69" s="375"/>
      <c r="G69" s="373"/>
      <c r="H69" s="376"/>
      <c r="I69" s="377"/>
      <c r="J69" s="378"/>
      <c r="K69" s="378"/>
      <c r="L69" s="377"/>
      <c r="M69" s="379"/>
      <c r="N69" s="373"/>
      <c r="O69" s="380"/>
      <c r="P69" s="381"/>
      <c r="Q69" s="382"/>
      <c r="R69" s="383"/>
      <c r="S69" s="382"/>
      <c r="T69" s="384"/>
      <c r="U69" s="385"/>
      <c r="V69" s="385"/>
      <c r="W69" s="385"/>
      <c r="X69" s="385"/>
      <c r="Y69" s="70"/>
      <c r="Z69" s="175"/>
      <c r="AA69" s="177"/>
      <c r="AB69" s="175"/>
      <c r="AC69" s="180"/>
      <c r="AD69" s="180"/>
      <c r="AE69" s="180"/>
      <c r="AF69" s="180"/>
      <c r="AG69" s="180"/>
      <c r="AH69" s="180"/>
      <c r="AI69" s="72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</row>
    <row r="70" ht="18.0" customHeight="1">
      <c r="A70" s="6"/>
      <c r="B70" s="373"/>
      <c r="C70" s="374"/>
      <c r="D70" s="374"/>
      <c r="E70" s="375"/>
      <c r="F70" s="375"/>
      <c r="G70" s="373"/>
      <c r="H70" s="376"/>
      <c r="I70" s="377"/>
      <c r="J70" s="378"/>
      <c r="K70" s="378"/>
      <c r="L70" s="377"/>
      <c r="M70" s="379"/>
      <c r="N70" s="373"/>
      <c r="O70" s="380"/>
      <c r="P70" s="381"/>
      <c r="Q70" s="382"/>
      <c r="R70" s="383"/>
      <c r="S70" s="382"/>
      <c r="T70" s="384"/>
      <c r="U70" s="385"/>
      <c r="V70" s="385"/>
      <c r="W70" s="385"/>
      <c r="X70" s="385"/>
      <c r="Y70" s="70"/>
      <c r="Z70" s="175"/>
      <c r="AA70" s="177"/>
      <c r="AB70" s="175"/>
      <c r="AC70" s="180"/>
      <c r="AD70" s="180"/>
      <c r="AE70" s="180"/>
      <c r="AF70" s="180"/>
      <c r="AG70" s="180"/>
      <c r="AH70" s="180"/>
      <c r="AI70" s="72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</row>
    <row r="71" ht="18.0" customHeight="1">
      <c r="A71" s="6"/>
      <c r="B71" s="373"/>
      <c r="C71" s="374"/>
      <c r="D71" s="374"/>
      <c r="E71" s="375"/>
      <c r="F71" s="375"/>
      <c r="G71" s="373"/>
      <c r="H71" s="376"/>
      <c r="I71" s="377"/>
      <c r="J71" s="378"/>
      <c r="K71" s="378"/>
      <c r="L71" s="377"/>
      <c r="M71" s="379"/>
      <c r="N71" s="373"/>
      <c r="O71" s="380"/>
      <c r="P71" s="381"/>
      <c r="Q71" s="382"/>
      <c r="R71" s="383"/>
      <c r="S71" s="382"/>
      <c r="T71" s="384"/>
      <c r="U71" s="385"/>
      <c r="V71" s="385"/>
      <c r="W71" s="385"/>
      <c r="X71" s="385"/>
      <c r="Y71" s="70"/>
      <c r="Z71" s="175"/>
      <c r="AA71" s="177"/>
      <c r="AB71" s="175"/>
      <c r="AC71" s="180"/>
      <c r="AD71" s="180"/>
      <c r="AE71" s="180"/>
      <c r="AF71" s="180"/>
      <c r="AG71" s="180"/>
      <c r="AH71" s="180"/>
      <c r="AI71" s="72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</row>
    <row r="72" ht="18.0" customHeight="1">
      <c r="A72" s="6"/>
      <c r="B72" s="373"/>
      <c r="C72" s="374"/>
      <c r="D72" s="374"/>
      <c r="E72" s="375"/>
      <c r="F72" s="375"/>
      <c r="G72" s="373"/>
      <c r="H72" s="376"/>
      <c r="I72" s="377"/>
      <c r="J72" s="378"/>
      <c r="K72" s="378"/>
      <c r="L72" s="377"/>
      <c r="M72" s="379"/>
      <c r="N72" s="373"/>
      <c r="O72" s="380"/>
      <c r="P72" s="381"/>
      <c r="Q72" s="382"/>
      <c r="R72" s="383"/>
      <c r="S72" s="382"/>
      <c r="T72" s="384"/>
      <c r="U72" s="385"/>
      <c r="V72" s="385"/>
      <c r="W72" s="385"/>
      <c r="X72" s="385"/>
      <c r="Y72" s="70"/>
      <c r="Z72" s="175"/>
      <c r="AA72" s="177"/>
      <c r="AB72" s="175"/>
      <c r="AC72" s="180"/>
      <c r="AD72" s="180"/>
      <c r="AE72" s="180"/>
      <c r="AF72" s="180"/>
      <c r="AG72" s="180"/>
      <c r="AH72" s="180"/>
      <c r="AI72" s="72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</row>
    <row r="73" ht="18.0" customHeight="1">
      <c r="A73" s="6"/>
      <c r="B73" s="373"/>
      <c r="C73" s="374"/>
      <c r="D73" s="374"/>
      <c r="E73" s="375"/>
      <c r="F73" s="375"/>
      <c r="G73" s="373"/>
      <c r="H73" s="376"/>
      <c r="I73" s="377"/>
      <c r="J73" s="378"/>
      <c r="K73" s="378"/>
      <c r="L73" s="377"/>
      <c r="M73" s="379"/>
      <c r="N73" s="373"/>
      <c r="O73" s="380"/>
      <c r="P73" s="381"/>
      <c r="Q73" s="382"/>
      <c r="R73" s="383"/>
      <c r="S73" s="382"/>
      <c r="T73" s="384"/>
      <c r="U73" s="385"/>
      <c r="V73" s="385"/>
      <c r="W73" s="385"/>
      <c r="X73" s="385"/>
      <c r="Y73" s="70"/>
      <c r="Z73" s="175"/>
      <c r="AA73" s="177"/>
      <c r="AB73" s="175"/>
      <c r="AC73" s="180"/>
      <c r="AD73" s="180"/>
      <c r="AE73" s="180"/>
      <c r="AF73" s="180"/>
      <c r="AG73" s="180"/>
      <c r="AH73" s="180"/>
      <c r="AI73" s="72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</row>
    <row r="74" ht="18.0" customHeight="1">
      <c r="A74" s="6"/>
      <c r="B74" s="373"/>
      <c r="C74" s="374"/>
      <c r="D74" s="374"/>
      <c r="E74" s="375"/>
      <c r="F74" s="375"/>
      <c r="G74" s="373"/>
      <c r="H74" s="376"/>
      <c r="I74" s="377"/>
      <c r="J74" s="378"/>
      <c r="K74" s="378"/>
      <c r="L74" s="377"/>
      <c r="M74" s="379"/>
      <c r="N74" s="373"/>
      <c r="O74" s="380"/>
      <c r="P74" s="381"/>
      <c r="Q74" s="382"/>
      <c r="R74" s="383"/>
      <c r="S74" s="382"/>
      <c r="T74" s="384"/>
      <c r="U74" s="385"/>
      <c r="V74" s="385"/>
      <c r="W74" s="385"/>
      <c r="X74" s="385"/>
      <c r="Y74" s="70"/>
      <c r="Z74" s="175"/>
      <c r="AA74" s="177"/>
      <c r="AB74" s="175"/>
      <c r="AC74" s="180"/>
      <c r="AD74" s="180"/>
      <c r="AE74" s="180"/>
      <c r="AF74" s="180"/>
      <c r="AG74" s="180"/>
      <c r="AH74" s="180"/>
      <c r="AI74" s="72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</row>
    <row r="75" ht="18.0" customHeight="1">
      <c r="A75" s="6"/>
      <c r="B75" s="373"/>
      <c r="C75" s="374"/>
      <c r="D75" s="374"/>
      <c r="E75" s="375"/>
      <c r="F75" s="375"/>
      <c r="G75" s="373"/>
      <c r="H75" s="376"/>
      <c r="I75" s="377"/>
      <c r="J75" s="378"/>
      <c r="K75" s="378"/>
      <c r="L75" s="377"/>
      <c r="M75" s="379"/>
      <c r="N75" s="373"/>
      <c r="O75" s="380"/>
      <c r="P75" s="381"/>
      <c r="Q75" s="382"/>
      <c r="R75" s="383"/>
      <c r="S75" s="382"/>
      <c r="T75" s="384"/>
      <c r="U75" s="385"/>
      <c r="V75" s="385"/>
      <c r="W75" s="385"/>
      <c r="X75" s="385"/>
      <c r="Y75" s="70"/>
      <c r="Z75" s="175"/>
      <c r="AA75" s="177"/>
      <c r="AB75" s="175"/>
      <c r="AC75" s="180"/>
      <c r="AD75" s="180"/>
      <c r="AE75" s="180"/>
      <c r="AF75" s="180"/>
      <c r="AG75" s="180"/>
      <c r="AH75" s="180"/>
      <c r="AI75" s="72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</row>
    <row r="76" ht="18.0" customHeight="1">
      <c r="A76" s="6"/>
      <c r="B76" s="373"/>
      <c r="C76" s="374"/>
      <c r="D76" s="374"/>
      <c r="E76" s="375"/>
      <c r="F76" s="375"/>
      <c r="G76" s="373"/>
      <c r="H76" s="376"/>
      <c r="I76" s="377"/>
      <c r="J76" s="378"/>
      <c r="K76" s="378"/>
      <c r="L76" s="377"/>
      <c r="M76" s="379"/>
      <c r="N76" s="373"/>
      <c r="O76" s="380"/>
      <c r="P76" s="381"/>
      <c r="Q76" s="382"/>
      <c r="R76" s="383"/>
      <c r="S76" s="382"/>
      <c r="T76" s="384"/>
      <c r="U76" s="385"/>
      <c r="V76" s="385"/>
      <c r="W76" s="385"/>
      <c r="X76" s="385"/>
      <c r="Y76" s="70"/>
      <c r="Z76" s="175"/>
      <c r="AA76" s="177"/>
      <c r="AB76" s="175"/>
      <c r="AC76" s="180"/>
      <c r="AD76" s="180"/>
      <c r="AE76" s="180"/>
      <c r="AF76" s="180"/>
      <c r="AG76" s="180"/>
      <c r="AH76" s="180"/>
      <c r="AI76" s="72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</row>
    <row r="77" ht="18.0" customHeight="1">
      <c r="A77" s="6"/>
      <c r="B77" s="373"/>
      <c r="C77" s="374"/>
      <c r="D77" s="374"/>
      <c r="E77" s="375"/>
      <c r="F77" s="375"/>
      <c r="G77" s="373"/>
      <c r="H77" s="376"/>
      <c r="I77" s="377"/>
      <c r="J77" s="378"/>
      <c r="K77" s="378"/>
      <c r="L77" s="377"/>
      <c r="M77" s="379"/>
      <c r="N77" s="373"/>
      <c r="O77" s="380"/>
      <c r="P77" s="381"/>
      <c r="Q77" s="382"/>
      <c r="R77" s="383"/>
      <c r="S77" s="382"/>
      <c r="T77" s="384"/>
      <c r="U77" s="385"/>
      <c r="V77" s="385"/>
      <c r="W77" s="385"/>
      <c r="X77" s="385"/>
      <c r="Y77" s="70"/>
      <c r="Z77" s="175"/>
      <c r="AA77" s="177"/>
      <c r="AB77" s="175"/>
      <c r="AC77" s="180"/>
      <c r="AD77" s="180"/>
      <c r="AE77" s="180"/>
      <c r="AF77" s="180"/>
      <c r="AG77" s="180"/>
      <c r="AH77" s="180"/>
      <c r="AI77" s="72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</row>
    <row r="78" ht="18.0" customHeight="1">
      <c r="A78" s="6"/>
      <c r="B78" s="373"/>
      <c r="C78" s="374"/>
      <c r="D78" s="374"/>
      <c r="E78" s="375"/>
      <c r="F78" s="375"/>
      <c r="G78" s="373"/>
      <c r="H78" s="376"/>
      <c r="I78" s="377"/>
      <c r="J78" s="378"/>
      <c r="K78" s="378"/>
      <c r="L78" s="377"/>
      <c r="M78" s="379"/>
      <c r="N78" s="373"/>
      <c r="O78" s="380"/>
      <c r="P78" s="381"/>
      <c r="Q78" s="382"/>
      <c r="R78" s="383"/>
      <c r="S78" s="382"/>
      <c r="T78" s="384"/>
      <c r="U78" s="385"/>
      <c r="V78" s="385"/>
      <c r="W78" s="385"/>
      <c r="X78" s="385"/>
      <c r="Y78" s="70"/>
      <c r="Z78" s="175"/>
      <c r="AA78" s="177"/>
      <c r="AB78" s="175"/>
      <c r="AC78" s="180"/>
      <c r="AD78" s="180"/>
      <c r="AE78" s="180"/>
      <c r="AF78" s="180"/>
      <c r="AG78" s="180"/>
      <c r="AH78" s="180"/>
      <c r="AI78" s="72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</row>
    <row r="79" ht="18.0" customHeight="1">
      <c r="A79" s="6"/>
      <c r="B79" s="373"/>
      <c r="C79" s="374"/>
      <c r="D79" s="374"/>
      <c r="E79" s="375"/>
      <c r="F79" s="375"/>
      <c r="G79" s="373"/>
      <c r="H79" s="376"/>
      <c r="I79" s="377"/>
      <c r="J79" s="378"/>
      <c r="K79" s="378"/>
      <c r="L79" s="377"/>
      <c r="M79" s="379"/>
      <c r="N79" s="373"/>
      <c r="O79" s="380"/>
      <c r="P79" s="381"/>
      <c r="Q79" s="382"/>
      <c r="R79" s="383"/>
      <c r="S79" s="382"/>
      <c r="T79" s="384"/>
      <c r="U79" s="385"/>
      <c r="V79" s="385"/>
      <c r="W79" s="385"/>
      <c r="X79" s="385"/>
      <c r="Y79" s="70"/>
      <c r="Z79" s="175"/>
      <c r="AA79" s="177"/>
      <c r="AB79" s="175"/>
      <c r="AC79" s="180"/>
      <c r="AD79" s="180"/>
      <c r="AE79" s="180"/>
      <c r="AF79" s="180"/>
      <c r="AG79" s="180"/>
      <c r="AH79" s="180"/>
      <c r="AI79" s="72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</row>
    <row r="80" ht="18.0" customHeight="1">
      <c r="A80" s="6"/>
      <c r="B80" s="373"/>
      <c r="C80" s="374"/>
      <c r="D80" s="374"/>
      <c r="E80" s="375"/>
      <c r="F80" s="375"/>
      <c r="G80" s="373"/>
      <c r="H80" s="376"/>
      <c r="I80" s="377"/>
      <c r="J80" s="378"/>
      <c r="K80" s="378"/>
      <c r="L80" s="377"/>
      <c r="M80" s="379"/>
      <c r="N80" s="373"/>
      <c r="O80" s="380"/>
      <c r="P80" s="381" t="str">
        <f t="shared" ref="P80:P81" si="11">if(L80="","",L80*(1-$R$2))</f>
        <v/>
      </c>
      <c r="Q80" s="382" t="str">
        <f t="shared" ref="Q80:Q81" si="12">IF(B80="","",IF(AND(E80="Stock",F80="Buy"),(100*((K80*L80)*-1)),IF(AND(E80="Call",F80="Buy"),(100*((K80*L80)*-1)),IF(AND(E80="PUT",F80="Buy"),(100*((K80*L80)*-1)),100*(K80*L80)))))</f>
        <v/>
      </c>
      <c r="R80" s="383" t="str">
        <f t="shared" ref="R80:R81" si="13">IF(B80="","",IF(AND(E80="Stock",F80="Buy"),(100*((K80*O80)*1)),IF(AND(E80="Call",F80="Buy"),(100*((K80*O80)*1)),IF(AND(E80="PUT",F80="Buy"),(100*((K80*O80)*1)),(100*(K80*O80))*-1))))</f>
        <v/>
      </c>
      <c r="S80" s="382" t="str">
        <f t="shared" ref="S80:S81" si="14">IF(Q80="","",Q80+R80)</f>
        <v/>
      </c>
      <c r="T80" s="384" t="str">
        <f t="shared" ref="T80:T81" si="15">if(L80="","",L80/I80)</f>
        <v/>
      </c>
      <c r="U80" s="385" t="str">
        <f>IFERROR(__xludf.DUMMYFUNCTION("if(D80="""","""",SPLIT(INDEX(IMPORTHTML(concatenate(""https://finance.yahoo.com/quote/"",D80),""table"",2),6,2),"" ""))"),"")</f>
        <v/>
      </c>
      <c r="V80" s="385"/>
      <c r="W80" s="385" t="str">
        <f t="shared" ref="W80:W81" si="16">if(iserror(U80/H80),"",U80/H80)</f>
        <v/>
      </c>
      <c r="X80" s="385" t="str">
        <f t="shared" ref="X80:X81" si="17">IF(AND(B80="",N80=""),"",IF(N80="",TODAY()-B80,N80-B80))</f>
        <v/>
      </c>
      <c r="Y80" s="70"/>
      <c r="Z80" s="175"/>
      <c r="AA80" s="177"/>
      <c r="AB80" s="175"/>
      <c r="AC80" s="180"/>
      <c r="AD80" s="180"/>
      <c r="AE80" s="180"/>
      <c r="AF80" s="180"/>
      <c r="AG80" s="180"/>
      <c r="AH80" s="180" t="str">
        <f>IF(AB80="","",(AB80*AC80)*-1)</f>
        <v/>
      </c>
      <c r="AI80" s="72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</row>
    <row r="81" ht="18.0" customHeight="1">
      <c r="A81" s="218"/>
      <c r="B81" s="335"/>
      <c r="C81" s="333"/>
      <c r="D81" s="333"/>
      <c r="E81" s="334"/>
      <c r="F81" s="334"/>
      <c r="G81" s="335"/>
      <c r="H81" s="336"/>
      <c r="I81" s="340"/>
      <c r="J81" s="339"/>
      <c r="K81" s="339"/>
      <c r="L81" s="340"/>
      <c r="M81" s="341"/>
      <c r="N81" s="335"/>
      <c r="O81" s="342"/>
      <c r="P81" s="343" t="str">
        <f t="shared" si="11"/>
        <v/>
      </c>
      <c r="Q81" s="344" t="str">
        <f t="shared" si="12"/>
        <v/>
      </c>
      <c r="R81" s="345" t="str">
        <f t="shared" si="13"/>
        <v/>
      </c>
      <c r="S81" s="344" t="str">
        <f t="shared" si="14"/>
        <v/>
      </c>
      <c r="T81" s="346" t="str">
        <f t="shared" si="15"/>
        <v/>
      </c>
      <c r="U81" s="347" t="str">
        <f>IFERROR(__xludf.DUMMYFUNCTION("if(D81="""","""",SPLIT(INDEX(IMPORTHTML(concatenate(""https://finance.yahoo.com/quote/"",D81),""table"",2),6,2),"" ""))"),"")</f>
        <v/>
      </c>
      <c r="V81" s="347"/>
      <c r="W81" s="347" t="str">
        <f t="shared" si="16"/>
        <v/>
      </c>
      <c r="X81" s="347" t="str">
        <f t="shared" si="17"/>
        <v/>
      </c>
      <c r="Y81" s="224"/>
      <c r="Z81" s="225"/>
      <c r="AA81" s="226"/>
      <c r="AB81" s="225"/>
      <c r="AC81" s="227"/>
      <c r="AD81" s="227"/>
      <c r="AE81" s="227"/>
      <c r="AF81" s="227"/>
      <c r="AG81" s="227"/>
      <c r="AH81" s="227"/>
      <c r="AI81" s="228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ht="18.0" customHeight="1">
      <c r="A82" s="348"/>
      <c r="B82" s="349"/>
      <c r="C82" s="350"/>
      <c r="D82" s="350"/>
      <c r="E82" s="350"/>
      <c r="F82" s="350"/>
      <c r="G82" s="349"/>
      <c r="H82" s="350"/>
      <c r="I82" s="350"/>
      <c r="J82" s="350"/>
      <c r="K82" s="350"/>
      <c r="L82" s="350"/>
      <c r="M82" s="351"/>
      <c r="N82" s="351"/>
      <c r="O82" s="351"/>
      <c r="P82" s="351"/>
      <c r="Q82" s="351"/>
      <c r="R82" s="351"/>
      <c r="S82" s="352">
        <f>SUM(S7:S81)</f>
        <v>106</v>
      </c>
      <c r="T82" s="351"/>
      <c r="U82" s="351"/>
      <c r="V82" s="351"/>
      <c r="W82" s="351"/>
      <c r="X82" s="351"/>
      <c r="Y82" s="353"/>
      <c r="Z82" s="354"/>
      <c r="AA82" s="354"/>
      <c r="AB82" s="354"/>
      <c r="AC82" s="354"/>
      <c r="AD82" s="354"/>
      <c r="AE82" s="354"/>
      <c r="AF82" s="354"/>
      <c r="AG82" s="354"/>
      <c r="AH82" s="354"/>
      <c r="AI82" s="355"/>
      <c r="AJ82" s="356"/>
      <c r="AK82" s="356"/>
      <c r="AL82" s="356"/>
      <c r="AM82" s="356"/>
      <c r="AN82" s="356"/>
      <c r="AO82" s="356"/>
      <c r="AP82" s="356"/>
      <c r="AQ82" s="356"/>
      <c r="AR82" s="356"/>
      <c r="AS82" s="356"/>
      <c r="AT82" s="356"/>
      <c r="AU82" s="356"/>
      <c r="AV82" s="356"/>
      <c r="AW82" s="356"/>
      <c r="AX82" s="356"/>
    </row>
    <row r="83" ht="18.0" customHeight="1">
      <c r="A83" s="109"/>
      <c r="B83" s="113"/>
      <c r="C83" s="114"/>
      <c r="D83" s="114"/>
      <c r="E83" s="114"/>
      <c r="F83" s="114"/>
      <c r="G83" s="113"/>
      <c r="H83" s="114"/>
      <c r="I83" s="114"/>
      <c r="J83" s="114"/>
      <c r="K83" s="114"/>
      <c r="L83" s="114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2"/>
      <c r="Z83" s="5"/>
      <c r="AA83" s="5"/>
      <c r="AB83" s="5"/>
      <c r="AC83" s="5"/>
      <c r="AD83" s="5"/>
      <c r="AE83" s="5"/>
      <c r="AF83" s="5"/>
      <c r="AG83" s="5"/>
      <c r="AH83" s="5"/>
      <c r="AI83" s="112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ht="18.0" customHeight="1">
      <c r="A84" s="109"/>
      <c r="B84" s="113"/>
      <c r="C84" s="115"/>
      <c r="D84" s="115"/>
      <c r="E84" s="115"/>
      <c r="F84" s="115"/>
      <c r="G84" s="113"/>
      <c r="H84" s="115"/>
      <c r="I84" s="115"/>
      <c r="J84" s="115"/>
      <c r="K84" s="115"/>
      <c r="L84" s="115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2"/>
      <c r="Z84" s="5"/>
      <c r="AA84" s="5"/>
      <c r="AB84" s="5"/>
      <c r="AC84" s="5"/>
      <c r="AD84" s="5"/>
      <c r="AE84" s="5"/>
      <c r="AF84" s="5"/>
      <c r="AG84" s="5"/>
      <c r="AH84" s="5"/>
      <c r="AI84" s="112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</row>
    <row r="85" ht="18.0" customHeight="1">
      <c r="A85" s="109"/>
      <c r="B85" s="113"/>
      <c r="C85" s="114"/>
      <c r="D85" s="114"/>
      <c r="E85" s="114"/>
      <c r="F85" s="114"/>
      <c r="G85" s="113"/>
      <c r="H85" s="114"/>
      <c r="I85" s="114"/>
      <c r="J85" s="114"/>
      <c r="K85" s="114"/>
      <c r="L85" s="114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2"/>
      <c r="Z85" s="5"/>
      <c r="AA85" s="5"/>
      <c r="AB85" s="5"/>
      <c r="AC85" s="5"/>
      <c r="AD85" s="5"/>
      <c r="AE85" s="5"/>
      <c r="AF85" s="5"/>
      <c r="AG85" s="5"/>
      <c r="AH85" s="5"/>
      <c r="AI85" s="112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</row>
    <row r="86" ht="18.0" customHeight="1">
      <c r="A86" s="109"/>
      <c r="B86" s="113"/>
      <c r="C86" s="114"/>
      <c r="D86" s="114"/>
      <c r="E86" s="114"/>
      <c r="F86" s="114"/>
      <c r="G86" s="113"/>
      <c r="H86" s="114"/>
      <c r="I86" s="114"/>
      <c r="J86" s="114"/>
      <c r="K86" s="114"/>
      <c r="L86" s="114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2"/>
      <c r="Z86" s="5"/>
      <c r="AA86" s="5"/>
      <c r="AB86" s="5"/>
      <c r="AC86" s="5"/>
      <c r="AD86" s="5"/>
      <c r="AE86" s="5"/>
      <c r="AF86" s="5"/>
      <c r="AG86" s="5"/>
      <c r="AH86" s="5"/>
      <c r="AI86" s="112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</row>
    <row r="87" ht="18.0" customHeight="1">
      <c r="A87" s="109"/>
      <c r="B87" s="113"/>
      <c r="C87" s="114"/>
      <c r="D87" s="114"/>
      <c r="E87" s="114"/>
      <c r="F87" s="114"/>
      <c r="G87" s="113"/>
      <c r="H87" s="114"/>
      <c r="I87" s="114"/>
      <c r="J87" s="114"/>
      <c r="K87" s="114"/>
      <c r="L87" s="114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2"/>
      <c r="Z87" s="5"/>
      <c r="AA87" s="5"/>
      <c r="AB87" s="5"/>
      <c r="AC87" s="5"/>
      <c r="AD87" s="5"/>
      <c r="AE87" s="5"/>
      <c r="AF87" s="5"/>
      <c r="AG87" s="5"/>
      <c r="AH87" s="5"/>
      <c r="AI87" s="112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</row>
    <row r="88" ht="18.0" customHeight="1">
      <c r="A88" s="109"/>
      <c r="B88" s="113"/>
      <c r="C88" s="114"/>
      <c r="D88" s="114"/>
      <c r="E88" s="114"/>
      <c r="F88" s="114"/>
      <c r="G88" s="113"/>
      <c r="H88" s="114"/>
      <c r="I88" s="114"/>
      <c r="J88" s="114"/>
      <c r="K88" s="114"/>
      <c r="L88" s="114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2"/>
      <c r="Z88" s="5"/>
      <c r="AA88" s="5"/>
      <c r="AB88" s="5"/>
      <c r="AC88" s="5"/>
      <c r="AD88" s="5"/>
      <c r="AE88" s="5"/>
      <c r="AF88" s="5"/>
      <c r="AG88" s="5"/>
      <c r="AH88" s="5"/>
      <c r="AI88" s="112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</row>
    <row r="89" ht="18.0" customHeight="1">
      <c r="A89" s="109"/>
      <c r="B89" s="113"/>
      <c r="C89" s="114"/>
      <c r="D89" s="114"/>
      <c r="E89" s="114"/>
      <c r="F89" s="114"/>
      <c r="G89" s="113"/>
      <c r="H89" s="114"/>
      <c r="I89" s="114"/>
      <c r="J89" s="114"/>
      <c r="K89" s="114"/>
      <c r="L89" s="114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2"/>
      <c r="Z89" s="5"/>
      <c r="AA89" s="5"/>
      <c r="AB89" s="5"/>
      <c r="AC89" s="5"/>
      <c r="AD89" s="5"/>
      <c r="AE89" s="5"/>
      <c r="AF89" s="5"/>
      <c r="AG89" s="5"/>
      <c r="AH89" s="5"/>
      <c r="AI89" s="112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</row>
    <row r="90" ht="18.0" customHeight="1">
      <c r="A90" s="109"/>
      <c r="B90" s="113"/>
      <c r="C90" s="114"/>
      <c r="D90" s="114"/>
      <c r="E90" s="114"/>
      <c r="F90" s="114"/>
      <c r="G90" s="113"/>
      <c r="H90" s="114"/>
      <c r="I90" s="114"/>
      <c r="J90" s="114"/>
      <c r="K90" s="114"/>
      <c r="L90" s="114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2"/>
      <c r="Z90" s="5"/>
      <c r="AA90" s="5"/>
      <c r="AB90" s="5"/>
      <c r="AC90" s="5"/>
      <c r="AD90" s="5"/>
      <c r="AE90" s="5"/>
      <c r="AF90" s="5"/>
      <c r="AG90" s="5"/>
      <c r="AH90" s="5"/>
      <c r="AI90" s="112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</row>
    <row r="91" ht="18.0" customHeight="1">
      <c r="A91" s="109"/>
      <c r="B91" s="113"/>
      <c r="C91" s="114"/>
      <c r="D91" s="114"/>
      <c r="E91" s="114"/>
      <c r="F91" s="114"/>
      <c r="G91" s="113"/>
      <c r="H91" s="114"/>
      <c r="I91" s="114"/>
      <c r="J91" s="114"/>
      <c r="K91" s="114"/>
      <c r="L91" s="114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2"/>
      <c r="Z91" s="5"/>
      <c r="AA91" s="5"/>
      <c r="AB91" s="5"/>
      <c r="AC91" s="5"/>
      <c r="AD91" s="5"/>
      <c r="AE91" s="5"/>
      <c r="AF91" s="5"/>
      <c r="AG91" s="5"/>
      <c r="AH91" s="5"/>
      <c r="AI91" s="112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</row>
    <row r="92" ht="18.0" customHeight="1">
      <c r="A92" s="109"/>
      <c r="B92" s="113"/>
      <c r="C92" s="114"/>
      <c r="D92" s="114"/>
      <c r="E92" s="114"/>
      <c r="F92" s="114"/>
      <c r="G92" s="113"/>
      <c r="H92" s="114"/>
      <c r="I92" s="114"/>
      <c r="J92" s="114"/>
      <c r="K92" s="114"/>
      <c r="L92" s="114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2"/>
      <c r="Z92" s="5"/>
      <c r="AA92" s="5"/>
      <c r="AB92" s="5"/>
      <c r="AC92" s="5"/>
      <c r="AD92" s="5"/>
      <c r="AE92" s="5"/>
      <c r="AF92" s="5"/>
      <c r="AG92" s="5"/>
      <c r="AH92" s="5"/>
      <c r="AI92" s="112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</row>
    <row r="93" ht="18.0" customHeight="1">
      <c r="A93" s="109"/>
      <c r="B93" s="113"/>
      <c r="C93" s="114"/>
      <c r="D93" s="114"/>
      <c r="E93" s="114"/>
      <c r="F93" s="114"/>
      <c r="G93" s="113"/>
      <c r="H93" s="114"/>
      <c r="I93" s="114"/>
      <c r="J93" s="114"/>
      <c r="K93" s="114"/>
      <c r="L93" s="114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2"/>
      <c r="Z93" s="5"/>
      <c r="AA93" s="5"/>
      <c r="AB93" s="5"/>
      <c r="AC93" s="5"/>
      <c r="AD93" s="5"/>
      <c r="AE93" s="5"/>
      <c r="AF93" s="5"/>
      <c r="AG93" s="5"/>
      <c r="AH93" s="5"/>
      <c r="AI93" s="112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</row>
    <row r="94" ht="18.0" customHeight="1">
      <c r="A94" s="109"/>
      <c r="B94" s="113"/>
      <c r="C94" s="114"/>
      <c r="D94" s="114"/>
      <c r="E94" s="114"/>
      <c r="F94" s="114"/>
      <c r="G94" s="113"/>
      <c r="H94" s="114"/>
      <c r="I94" s="114"/>
      <c r="J94" s="114"/>
      <c r="K94" s="114"/>
      <c r="L94" s="114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2"/>
      <c r="Z94" s="5"/>
      <c r="AA94" s="5"/>
      <c r="AB94" s="5"/>
      <c r="AC94" s="5"/>
      <c r="AD94" s="5"/>
      <c r="AE94" s="5"/>
      <c r="AF94" s="5"/>
      <c r="AG94" s="5"/>
      <c r="AH94" s="5"/>
      <c r="AI94" s="112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</row>
    <row r="95" ht="18.0" customHeight="1">
      <c r="A95" s="109"/>
      <c r="B95" s="113"/>
      <c r="C95" s="114"/>
      <c r="D95" s="114"/>
      <c r="E95" s="114"/>
      <c r="F95" s="114"/>
      <c r="G95" s="113"/>
      <c r="H95" s="114"/>
      <c r="I95" s="114"/>
      <c r="J95" s="114"/>
      <c r="K95" s="114"/>
      <c r="L95" s="114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2"/>
      <c r="Z95" s="5"/>
      <c r="AA95" s="5"/>
      <c r="AB95" s="5"/>
      <c r="AC95" s="5"/>
      <c r="AD95" s="5"/>
      <c r="AE95" s="5"/>
      <c r="AF95" s="5"/>
      <c r="AG95" s="5"/>
      <c r="AH95" s="5"/>
      <c r="AI95" s="112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</row>
    <row r="96" ht="18.0" customHeight="1">
      <c r="A96" s="109"/>
      <c r="B96" s="113"/>
      <c r="C96" s="114"/>
      <c r="D96" s="114"/>
      <c r="E96" s="114"/>
      <c r="F96" s="114"/>
      <c r="G96" s="113"/>
      <c r="H96" s="114"/>
      <c r="I96" s="114"/>
      <c r="J96" s="114"/>
      <c r="K96" s="114"/>
      <c r="L96" s="114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2"/>
      <c r="Z96" s="5"/>
      <c r="AA96" s="5"/>
      <c r="AB96" s="5"/>
      <c r="AC96" s="5"/>
      <c r="AD96" s="5"/>
      <c r="AE96" s="5"/>
      <c r="AF96" s="5"/>
      <c r="AG96" s="5"/>
      <c r="AH96" s="5"/>
      <c r="AI96" s="112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</row>
    <row r="97" ht="18.0" customHeight="1">
      <c r="A97" s="109"/>
      <c r="B97" s="113"/>
      <c r="C97" s="114"/>
      <c r="D97" s="114"/>
      <c r="E97" s="114"/>
      <c r="F97" s="114"/>
      <c r="G97" s="113"/>
      <c r="H97" s="114"/>
      <c r="I97" s="114"/>
      <c r="J97" s="114"/>
      <c r="K97" s="114"/>
      <c r="L97" s="114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2"/>
      <c r="Z97" s="5"/>
      <c r="AA97" s="5"/>
      <c r="AB97" s="5"/>
      <c r="AC97" s="5"/>
      <c r="AD97" s="5"/>
      <c r="AE97" s="5"/>
      <c r="AF97" s="5"/>
      <c r="AG97" s="5"/>
      <c r="AH97" s="5"/>
      <c r="AI97" s="112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</row>
    <row r="98" ht="18.0" customHeight="1">
      <c r="A98" s="109"/>
      <c r="B98" s="113"/>
      <c r="C98" s="114"/>
      <c r="D98" s="114"/>
      <c r="E98" s="114"/>
      <c r="F98" s="114"/>
      <c r="G98" s="113"/>
      <c r="H98" s="114"/>
      <c r="I98" s="114"/>
      <c r="J98" s="114"/>
      <c r="K98" s="114"/>
      <c r="L98" s="114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2"/>
      <c r="Z98" s="5"/>
      <c r="AA98" s="5"/>
      <c r="AB98" s="5"/>
      <c r="AC98" s="5"/>
      <c r="AD98" s="5"/>
      <c r="AE98" s="5"/>
      <c r="AF98" s="5"/>
      <c r="AG98" s="5"/>
      <c r="AH98" s="5"/>
      <c r="AI98" s="112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</row>
    <row r="99" ht="18.0" customHeight="1">
      <c r="A99" s="109"/>
      <c r="B99" s="113"/>
      <c r="C99" s="114"/>
      <c r="D99" s="114"/>
      <c r="E99" s="114"/>
      <c r="F99" s="114"/>
      <c r="G99" s="113"/>
      <c r="H99" s="114"/>
      <c r="I99" s="114"/>
      <c r="J99" s="114"/>
      <c r="K99" s="114"/>
      <c r="L99" s="114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2"/>
      <c r="Z99" s="5"/>
      <c r="AA99" s="5"/>
      <c r="AB99" s="5"/>
      <c r="AC99" s="5"/>
      <c r="AD99" s="5"/>
      <c r="AE99" s="5"/>
      <c r="AF99" s="5"/>
      <c r="AG99" s="5"/>
      <c r="AH99" s="5"/>
      <c r="AI99" s="112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</row>
    <row r="100" ht="18.0" customHeight="1">
      <c r="A100" s="109"/>
      <c r="B100" s="113"/>
      <c r="C100" s="114"/>
      <c r="D100" s="114"/>
      <c r="E100" s="114"/>
      <c r="F100" s="114"/>
      <c r="G100" s="113"/>
      <c r="H100" s="114"/>
      <c r="I100" s="114"/>
      <c r="J100" s="114"/>
      <c r="K100" s="114"/>
      <c r="L100" s="114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2"/>
      <c r="Z100" s="5"/>
      <c r="AA100" s="5"/>
      <c r="AB100" s="5"/>
      <c r="AC100" s="5"/>
      <c r="AD100" s="5"/>
      <c r="AE100" s="5"/>
      <c r="AF100" s="5"/>
      <c r="AG100" s="5"/>
      <c r="AH100" s="5"/>
      <c r="AI100" s="112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</row>
    <row r="101" ht="18.0" customHeight="1">
      <c r="A101" s="109"/>
      <c r="B101" s="113"/>
      <c r="C101" s="114"/>
      <c r="D101" s="114"/>
      <c r="E101" s="114"/>
      <c r="F101" s="114"/>
      <c r="G101" s="113"/>
      <c r="H101" s="114"/>
      <c r="I101" s="114"/>
      <c r="J101" s="114"/>
      <c r="K101" s="114"/>
      <c r="L101" s="114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2"/>
      <c r="Z101" s="5"/>
      <c r="AA101" s="5"/>
      <c r="AB101" s="5"/>
      <c r="AC101" s="5"/>
      <c r="AD101" s="5"/>
      <c r="AE101" s="5"/>
      <c r="AF101" s="5"/>
      <c r="AG101" s="5"/>
      <c r="AH101" s="5"/>
      <c r="AI101" s="112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</row>
    <row r="102" ht="18.0" customHeight="1">
      <c r="A102" s="109"/>
      <c r="B102" s="113"/>
      <c r="C102" s="114"/>
      <c r="D102" s="114"/>
      <c r="E102" s="114"/>
      <c r="F102" s="114"/>
      <c r="G102" s="113"/>
      <c r="H102" s="114"/>
      <c r="I102" s="114"/>
      <c r="J102" s="114"/>
      <c r="K102" s="114"/>
      <c r="L102" s="114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2"/>
      <c r="Z102" s="5"/>
      <c r="AA102" s="5"/>
      <c r="AB102" s="5"/>
      <c r="AC102" s="5"/>
      <c r="AD102" s="5"/>
      <c r="AE102" s="5"/>
      <c r="AF102" s="5"/>
      <c r="AG102" s="5"/>
      <c r="AH102" s="5"/>
      <c r="AI102" s="112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</row>
    <row r="103" ht="18.0" customHeight="1">
      <c r="A103" s="109"/>
      <c r="B103" s="113"/>
      <c r="C103" s="114"/>
      <c r="D103" s="114"/>
      <c r="E103" s="114"/>
      <c r="F103" s="114"/>
      <c r="G103" s="113"/>
      <c r="H103" s="114"/>
      <c r="I103" s="114"/>
      <c r="J103" s="114"/>
      <c r="K103" s="114"/>
      <c r="L103" s="114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2"/>
      <c r="Z103" s="5"/>
      <c r="AA103" s="5"/>
      <c r="AB103" s="5"/>
      <c r="AC103" s="5"/>
      <c r="AD103" s="5"/>
      <c r="AE103" s="5"/>
      <c r="AF103" s="5"/>
      <c r="AG103" s="5"/>
      <c r="AH103" s="5"/>
      <c r="AI103" s="112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</row>
    <row r="104" ht="18.0" customHeight="1">
      <c r="A104" s="109"/>
      <c r="B104" s="113"/>
      <c r="C104" s="114"/>
      <c r="D104" s="114"/>
      <c r="E104" s="114"/>
      <c r="F104" s="114"/>
      <c r="G104" s="113"/>
      <c r="H104" s="114"/>
      <c r="I104" s="114"/>
      <c r="J104" s="114"/>
      <c r="K104" s="114"/>
      <c r="L104" s="114"/>
      <c r="M104" s="110"/>
      <c r="N104" s="110"/>
      <c r="O104" s="110"/>
      <c r="P104" s="110"/>
      <c r="Q104" s="110"/>
      <c r="R104" s="110"/>
      <c r="S104" s="110"/>
      <c r="T104" s="110"/>
      <c r="U104" s="110"/>
      <c r="V104" s="110"/>
      <c r="W104" s="110"/>
      <c r="X104" s="110"/>
      <c r="Y104" s="112"/>
      <c r="Z104" s="5"/>
      <c r="AA104" s="5"/>
      <c r="AB104" s="5"/>
      <c r="AC104" s="5"/>
      <c r="AD104" s="5"/>
      <c r="AE104" s="5"/>
      <c r="AF104" s="5"/>
      <c r="AG104" s="5"/>
      <c r="AH104" s="5"/>
      <c r="AI104" s="112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</row>
    <row r="105" ht="18.0" customHeight="1">
      <c r="A105" s="109"/>
      <c r="B105" s="113"/>
      <c r="C105" s="114"/>
      <c r="D105" s="114"/>
      <c r="E105" s="114"/>
      <c r="F105" s="114"/>
      <c r="G105" s="113"/>
      <c r="H105" s="114"/>
      <c r="I105" s="114"/>
      <c r="J105" s="114"/>
      <c r="K105" s="114"/>
      <c r="L105" s="114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2"/>
      <c r="Z105" s="5"/>
      <c r="AA105" s="5"/>
      <c r="AB105" s="5"/>
      <c r="AC105" s="5"/>
      <c r="AD105" s="5"/>
      <c r="AE105" s="5"/>
      <c r="AF105" s="5"/>
      <c r="AG105" s="5"/>
      <c r="AH105" s="5"/>
      <c r="AI105" s="112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</row>
    <row r="106" ht="18.0" customHeight="1">
      <c r="A106" s="109"/>
      <c r="B106" s="113"/>
      <c r="C106" s="114"/>
      <c r="D106" s="114"/>
      <c r="E106" s="114"/>
      <c r="F106" s="114"/>
      <c r="G106" s="113"/>
      <c r="H106" s="114"/>
      <c r="I106" s="114"/>
      <c r="J106" s="114"/>
      <c r="K106" s="114"/>
      <c r="L106" s="114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2"/>
      <c r="Z106" s="5"/>
      <c r="AA106" s="5"/>
      <c r="AB106" s="5"/>
      <c r="AC106" s="5"/>
      <c r="AD106" s="5"/>
      <c r="AE106" s="5"/>
      <c r="AF106" s="5"/>
      <c r="AG106" s="5"/>
      <c r="AH106" s="5"/>
      <c r="AI106" s="112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</row>
    <row r="107" ht="18.0" customHeight="1">
      <c r="A107" s="109"/>
      <c r="B107" s="113"/>
      <c r="C107" s="114"/>
      <c r="D107" s="114"/>
      <c r="E107" s="114"/>
      <c r="F107" s="114"/>
      <c r="G107" s="113"/>
      <c r="H107" s="114"/>
      <c r="I107" s="114"/>
      <c r="J107" s="114"/>
      <c r="K107" s="114"/>
      <c r="L107" s="114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2"/>
      <c r="Z107" s="5"/>
      <c r="AA107" s="5"/>
      <c r="AB107" s="5"/>
      <c r="AC107" s="5"/>
      <c r="AD107" s="5"/>
      <c r="AE107" s="5"/>
      <c r="AF107" s="5"/>
      <c r="AG107" s="5"/>
      <c r="AH107" s="5"/>
      <c r="AI107" s="112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</row>
    <row r="108" ht="18.0" customHeight="1">
      <c r="A108" s="109"/>
      <c r="B108" s="113"/>
      <c r="C108" s="114"/>
      <c r="D108" s="114"/>
      <c r="E108" s="114"/>
      <c r="F108" s="114"/>
      <c r="G108" s="113"/>
      <c r="H108" s="114"/>
      <c r="I108" s="114"/>
      <c r="J108" s="114"/>
      <c r="K108" s="114"/>
      <c r="L108" s="114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2"/>
      <c r="Z108" s="5"/>
      <c r="AA108" s="5"/>
      <c r="AB108" s="5"/>
      <c r="AC108" s="5"/>
      <c r="AD108" s="5"/>
      <c r="AE108" s="5"/>
      <c r="AF108" s="5"/>
      <c r="AG108" s="5"/>
      <c r="AH108" s="5"/>
      <c r="AI108" s="112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</row>
    <row r="109" ht="18.0" customHeight="1">
      <c r="A109" s="109"/>
      <c r="B109" s="113"/>
      <c r="C109" s="114"/>
      <c r="D109" s="114"/>
      <c r="E109" s="114"/>
      <c r="F109" s="114"/>
      <c r="G109" s="113"/>
      <c r="H109" s="114"/>
      <c r="I109" s="114"/>
      <c r="J109" s="114"/>
      <c r="K109" s="114"/>
      <c r="L109" s="114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2"/>
      <c r="Z109" s="5"/>
      <c r="AA109" s="5"/>
      <c r="AB109" s="5"/>
      <c r="AC109" s="5"/>
      <c r="AD109" s="5"/>
      <c r="AE109" s="5"/>
      <c r="AF109" s="5"/>
      <c r="AG109" s="5"/>
      <c r="AH109" s="5"/>
      <c r="AI109" s="112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</row>
    <row r="110" ht="18.0" customHeight="1">
      <c r="A110" s="109"/>
      <c r="B110" s="113"/>
      <c r="C110" s="114"/>
      <c r="D110" s="114"/>
      <c r="E110" s="114"/>
      <c r="F110" s="114"/>
      <c r="G110" s="113"/>
      <c r="H110" s="114"/>
      <c r="I110" s="114"/>
      <c r="J110" s="114"/>
      <c r="K110" s="114"/>
      <c r="L110" s="114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2"/>
      <c r="Z110" s="5"/>
      <c r="AA110" s="5"/>
      <c r="AB110" s="5"/>
      <c r="AC110" s="5"/>
      <c r="AD110" s="5"/>
      <c r="AE110" s="5"/>
      <c r="AF110" s="5"/>
      <c r="AG110" s="5"/>
      <c r="AH110" s="5"/>
      <c r="AI110" s="112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</row>
    <row r="111" ht="18.0" customHeight="1">
      <c r="A111" s="109"/>
      <c r="B111" s="113"/>
      <c r="C111" s="114"/>
      <c r="D111" s="114"/>
      <c r="E111" s="114"/>
      <c r="F111" s="114"/>
      <c r="G111" s="113"/>
      <c r="H111" s="114"/>
      <c r="I111" s="114"/>
      <c r="J111" s="114"/>
      <c r="K111" s="114"/>
      <c r="L111" s="114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2"/>
      <c r="Z111" s="5"/>
      <c r="AA111" s="5"/>
      <c r="AB111" s="5"/>
      <c r="AC111" s="5"/>
      <c r="AD111" s="5"/>
      <c r="AE111" s="5"/>
      <c r="AF111" s="5"/>
      <c r="AG111" s="5"/>
      <c r="AH111" s="5"/>
      <c r="AI111" s="112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</row>
    <row r="112" ht="18.0" customHeight="1">
      <c r="A112" s="109"/>
      <c r="B112" s="113"/>
      <c r="C112" s="114"/>
      <c r="D112" s="114"/>
      <c r="E112" s="114"/>
      <c r="F112" s="114"/>
      <c r="G112" s="113"/>
      <c r="H112" s="114"/>
      <c r="I112" s="114"/>
      <c r="J112" s="114"/>
      <c r="K112" s="114"/>
      <c r="L112" s="114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2"/>
      <c r="Z112" s="5"/>
      <c r="AA112" s="5"/>
      <c r="AB112" s="5"/>
      <c r="AC112" s="5"/>
      <c r="AD112" s="5"/>
      <c r="AE112" s="5"/>
      <c r="AF112" s="5"/>
      <c r="AG112" s="5"/>
      <c r="AH112" s="5"/>
      <c r="AI112" s="112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</row>
    <row r="113" ht="18.0" customHeight="1">
      <c r="A113" s="109"/>
      <c r="B113" s="113"/>
      <c r="C113" s="114"/>
      <c r="D113" s="114"/>
      <c r="E113" s="114"/>
      <c r="F113" s="114"/>
      <c r="G113" s="113"/>
      <c r="H113" s="114"/>
      <c r="I113" s="114"/>
      <c r="J113" s="114"/>
      <c r="K113" s="114"/>
      <c r="L113" s="114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2"/>
      <c r="Z113" s="5"/>
      <c r="AA113" s="5"/>
      <c r="AB113" s="5"/>
      <c r="AC113" s="5"/>
      <c r="AD113" s="5"/>
      <c r="AE113" s="5"/>
      <c r="AF113" s="5"/>
      <c r="AG113" s="5"/>
      <c r="AH113" s="5"/>
      <c r="AI113" s="112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</row>
    <row r="114" ht="18.0" customHeight="1">
      <c r="A114" s="109"/>
      <c r="B114" s="113"/>
      <c r="C114" s="114"/>
      <c r="D114" s="114"/>
      <c r="E114" s="114"/>
      <c r="F114" s="114"/>
      <c r="G114" s="113"/>
      <c r="H114" s="114"/>
      <c r="I114" s="114"/>
      <c r="J114" s="114"/>
      <c r="K114" s="114"/>
      <c r="L114" s="114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2"/>
      <c r="Z114" s="5"/>
      <c r="AA114" s="5"/>
      <c r="AB114" s="5"/>
      <c r="AC114" s="5"/>
      <c r="AD114" s="5"/>
      <c r="AE114" s="5"/>
      <c r="AF114" s="5"/>
      <c r="AG114" s="5"/>
      <c r="AH114" s="5"/>
      <c r="AI114" s="112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</row>
    <row r="115" ht="18.0" customHeight="1">
      <c r="A115" s="109"/>
      <c r="B115" s="113"/>
      <c r="C115" s="114"/>
      <c r="D115" s="114"/>
      <c r="E115" s="114"/>
      <c r="F115" s="114"/>
      <c r="G115" s="113"/>
      <c r="H115" s="114"/>
      <c r="I115" s="114"/>
      <c r="J115" s="114"/>
      <c r="K115" s="114"/>
      <c r="L115" s="114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2"/>
      <c r="Z115" s="5"/>
      <c r="AA115" s="5"/>
      <c r="AB115" s="5"/>
      <c r="AC115" s="5"/>
      <c r="AD115" s="5"/>
      <c r="AE115" s="5"/>
      <c r="AF115" s="5"/>
      <c r="AG115" s="5"/>
      <c r="AH115" s="5"/>
      <c r="AI115" s="112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</row>
    <row r="116" ht="18.0" customHeight="1">
      <c r="A116" s="109"/>
      <c r="B116" s="113"/>
      <c r="C116" s="114"/>
      <c r="D116" s="114"/>
      <c r="E116" s="114"/>
      <c r="F116" s="114"/>
      <c r="G116" s="113"/>
      <c r="H116" s="114"/>
      <c r="I116" s="114"/>
      <c r="J116" s="114"/>
      <c r="K116" s="114"/>
      <c r="L116" s="114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2"/>
      <c r="Z116" s="5"/>
      <c r="AA116" s="5"/>
      <c r="AB116" s="5"/>
      <c r="AC116" s="5"/>
      <c r="AD116" s="5"/>
      <c r="AE116" s="5"/>
      <c r="AF116" s="5"/>
      <c r="AG116" s="5"/>
      <c r="AH116" s="5"/>
      <c r="AI116" s="112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</row>
    <row r="117" ht="18.0" customHeight="1">
      <c r="A117" s="109"/>
      <c r="B117" s="113"/>
      <c r="C117" s="114"/>
      <c r="D117" s="114"/>
      <c r="E117" s="114"/>
      <c r="F117" s="114"/>
      <c r="G117" s="113"/>
      <c r="H117" s="114"/>
      <c r="I117" s="114"/>
      <c r="J117" s="114"/>
      <c r="K117" s="114"/>
      <c r="L117" s="114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2"/>
      <c r="Z117" s="5"/>
      <c r="AA117" s="5"/>
      <c r="AB117" s="5"/>
      <c r="AC117" s="5"/>
      <c r="AD117" s="5"/>
      <c r="AE117" s="5"/>
      <c r="AF117" s="5"/>
      <c r="AG117" s="5"/>
      <c r="AH117" s="5"/>
      <c r="AI117" s="112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</row>
    <row r="118" ht="18.0" customHeight="1">
      <c r="A118" s="109"/>
      <c r="B118" s="113"/>
      <c r="C118" s="114"/>
      <c r="D118" s="114"/>
      <c r="E118" s="114"/>
      <c r="F118" s="114"/>
      <c r="G118" s="113"/>
      <c r="H118" s="114"/>
      <c r="I118" s="114"/>
      <c r="J118" s="114"/>
      <c r="K118" s="114"/>
      <c r="L118" s="114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2"/>
      <c r="Z118" s="5"/>
      <c r="AA118" s="5"/>
      <c r="AB118" s="5"/>
      <c r="AC118" s="5"/>
      <c r="AD118" s="5"/>
      <c r="AE118" s="5"/>
      <c r="AF118" s="5"/>
      <c r="AG118" s="5"/>
      <c r="AH118" s="5"/>
      <c r="AI118" s="112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</row>
    <row r="119" ht="18.0" customHeight="1">
      <c r="A119" s="109"/>
      <c r="B119" s="113"/>
      <c r="C119" s="114"/>
      <c r="D119" s="114"/>
      <c r="E119" s="114"/>
      <c r="F119" s="114"/>
      <c r="G119" s="113"/>
      <c r="H119" s="114"/>
      <c r="I119" s="114"/>
      <c r="J119" s="114"/>
      <c r="K119" s="114"/>
      <c r="L119" s="114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2"/>
      <c r="Z119" s="5"/>
      <c r="AA119" s="5"/>
      <c r="AB119" s="5"/>
      <c r="AC119" s="5"/>
      <c r="AD119" s="5"/>
      <c r="AE119" s="5"/>
      <c r="AF119" s="5"/>
      <c r="AG119" s="5"/>
      <c r="AH119" s="5"/>
      <c r="AI119" s="112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</row>
    <row r="120" ht="18.0" customHeight="1">
      <c r="A120" s="109"/>
      <c r="B120" s="113"/>
      <c r="C120" s="114"/>
      <c r="D120" s="114"/>
      <c r="E120" s="114"/>
      <c r="F120" s="114"/>
      <c r="G120" s="113"/>
      <c r="H120" s="114"/>
      <c r="I120" s="114"/>
      <c r="J120" s="114"/>
      <c r="K120" s="114"/>
      <c r="L120" s="114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2"/>
      <c r="Z120" s="5"/>
      <c r="AA120" s="5"/>
      <c r="AB120" s="5"/>
      <c r="AC120" s="5"/>
      <c r="AD120" s="5"/>
      <c r="AE120" s="5"/>
      <c r="AF120" s="5"/>
      <c r="AG120" s="5"/>
      <c r="AH120" s="5"/>
      <c r="AI120" s="112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</row>
    <row r="121" ht="18.0" customHeight="1">
      <c r="A121" s="109"/>
      <c r="B121" s="113"/>
      <c r="C121" s="114"/>
      <c r="D121" s="114"/>
      <c r="E121" s="114"/>
      <c r="F121" s="114"/>
      <c r="G121" s="113"/>
      <c r="H121" s="114"/>
      <c r="I121" s="114"/>
      <c r="J121" s="114"/>
      <c r="K121" s="114"/>
      <c r="L121" s="114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2"/>
      <c r="Z121" s="5"/>
      <c r="AA121" s="5"/>
      <c r="AB121" s="5"/>
      <c r="AC121" s="5"/>
      <c r="AD121" s="5"/>
      <c r="AE121" s="5"/>
      <c r="AF121" s="5"/>
      <c r="AG121" s="5"/>
      <c r="AH121" s="5"/>
      <c r="AI121" s="112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</row>
    <row r="122" ht="18.0" customHeight="1">
      <c r="A122" s="109"/>
      <c r="B122" s="113"/>
      <c r="C122" s="114"/>
      <c r="D122" s="114"/>
      <c r="E122" s="114"/>
      <c r="F122" s="114"/>
      <c r="G122" s="113"/>
      <c r="H122" s="114"/>
      <c r="I122" s="114"/>
      <c r="J122" s="114"/>
      <c r="K122" s="114"/>
      <c r="L122" s="114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2"/>
      <c r="Z122" s="5"/>
      <c r="AA122" s="5"/>
      <c r="AB122" s="5"/>
      <c r="AC122" s="5"/>
      <c r="AD122" s="5"/>
      <c r="AE122" s="5"/>
      <c r="AF122" s="5"/>
      <c r="AG122" s="5"/>
      <c r="AH122" s="5"/>
      <c r="AI122" s="112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</row>
    <row r="123" ht="18.0" customHeight="1">
      <c r="A123" s="109"/>
      <c r="B123" s="113"/>
      <c r="C123" s="114"/>
      <c r="D123" s="114"/>
      <c r="E123" s="114"/>
      <c r="F123" s="114"/>
      <c r="G123" s="113"/>
      <c r="H123" s="114"/>
      <c r="I123" s="114"/>
      <c r="J123" s="114"/>
      <c r="K123" s="114"/>
      <c r="L123" s="114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2"/>
      <c r="Z123" s="5"/>
      <c r="AA123" s="5"/>
      <c r="AB123" s="5"/>
      <c r="AC123" s="5"/>
      <c r="AD123" s="5"/>
      <c r="AE123" s="5"/>
      <c r="AF123" s="5"/>
      <c r="AG123" s="5"/>
      <c r="AH123" s="5"/>
      <c r="AI123" s="112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</row>
    <row r="124" ht="18.0" customHeight="1">
      <c r="A124" s="109"/>
      <c r="B124" s="113"/>
      <c r="C124" s="114"/>
      <c r="D124" s="114"/>
      <c r="E124" s="114"/>
      <c r="F124" s="114"/>
      <c r="G124" s="113"/>
      <c r="H124" s="114"/>
      <c r="I124" s="114"/>
      <c r="J124" s="114"/>
      <c r="K124" s="114"/>
      <c r="L124" s="114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2"/>
      <c r="Z124" s="5"/>
      <c r="AA124" s="5"/>
      <c r="AB124" s="5"/>
      <c r="AC124" s="5"/>
      <c r="AD124" s="5"/>
      <c r="AE124" s="5"/>
      <c r="AF124" s="5"/>
      <c r="AG124" s="5"/>
      <c r="AH124" s="5"/>
      <c r="AI124" s="112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</row>
    <row r="125" ht="18.0" customHeight="1">
      <c r="A125" s="109"/>
      <c r="B125" s="113"/>
      <c r="C125" s="114"/>
      <c r="D125" s="114"/>
      <c r="E125" s="114"/>
      <c r="F125" s="114"/>
      <c r="G125" s="113"/>
      <c r="H125" s="114"/>
      <c r="I125" s="114"/>
      <c r="J125" s="114"/>
      <c r="K125" s="114"/>
      <c r="L125" s="114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2"/>
      <c r="Z125" s="5"/>
      <c r="AA125" s="5"/>
      <c r="AB125" s="5"/>
      <c r="AC125" s="5"/>
      <c r="AD125" s="5"/>
      <c r="AE125" s="5"/>
      <c r="AF125" s="5"/>
      <c r="AG125" s="5"/>
      <c r="AH125" s="5"/>
      <c r="AI125" s="112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</row>
    <row r="126" ht="18.0" customHeight="1">
      <c r="A126" s="109"/>
      <c r="B126" s="113"/>
      <c r="C126" s="114"/>
      <c r="D126" s="114"/>
      <c r="E126" s="114"/>
      <c r="F126" s="114"/>
      <c r="G126" s="113"/>
      <c r="H126" s="114"/>
      <c r="I126" s="114"/>
      <c r="J126" s="114"/>
      <c r="K126" s="114"/>
      <c r="L126" s="114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2"/>
      <c r="Z126" s="5"/>
      <c r="AA126" s="5"/>
      <c r="AB126" s="5"/>
      <c r="AC126" s="5"/>
      <c r="AD126" s="5"/>
      <c r="AE126" s="5"/>
      <c r="AF126" s="5"/>
      <c r="AG126" s="5"/>
      <c r="AH126" s="5"/>
      <c r="AI126" s="112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</row>
    <row r="127" ht="18.0" customHeight="1">
      <c r="A127" s="109"/>
      <c r="B127" s="113"/>
      <c r="C127" s="114"/>
      <c r="D127" s="114"/>
      <c r="E127" s="114"/>
      <c r="F127" s="114"/>
      <c r="G127" s="113"/>
      <c r="H127" s="114"/>
      <c r="I127" s="114"/>
      <c r="J127" s="114"/>
      <c r="K127" s="114"/>
      <c r="L127" s="114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2"/>
      <c r="Z127" s="5"/>
      <c r="AA127" s="5"/>
      <c r="AB127" s="5"/>
      <c r="AC127" s="5"/>
      <c r="AD127" s="5"/>
      <c r="AE127" s="5"/>
      <c r="AF127" s="5"/>
      <c r="AG127" s="5"/>
      <c r="AH127" s="5"/>
      <c r="AI127" s="112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</row>
    <row r="128" ht="18.0" customHeight="1">
      <c r="A128" s="109"/>
      <c r="B128" s="113"/>
      <c r="C128" s="114"/>
      <c r="D128" s="114"/>
      <c r="E128" s="114"/>
      <c r="F128" s="114"/>
      <c r="G128" s="113"/>
      <c r="H128" s="114"/>
      <c r="I128" s="114"/>
      <c r="J128" s="114"/>
      <c r="K128" s="114"/>
      <c r="L128" s="114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2"/>
      <c r="Z128" s="5"/>
      <c r="AA128" s="5"/>
      <c r="AB128" s="5"/>
      <c r="AC128" s="5"/>
      <c r="AD128" s="5"/>
      <c r="AE128" s="5"/>
      <c r="AF128" s="5"/>
      <c r="AG128" s="5"/>
      <c r="AH128" s="5"/>
      <c r="AI128" s="112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</row>
    <row r="129" ht="18.0" customHeight="1">
      <c r="A129" s="109"/>
      <c r="B129" s="113"/>
      <c r="C129" s="114"/>
      <c r="D129" s="114"/>
      <c r="E129" s="114"/>
      <c r="F129" s="114"/>
      <c r="G129" s="113"/>
      <c r="H129" s="114"/>
      <c r="I129" s="114"/>
      <c r="J129" s="114"/>
      <c r="K129" s="114"/>
      <c r="L129" s="114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2"/>
      <c r="Z129" s="5"/>
      <c r="AA129" s="5"/>
      <c r="AB129" s="5"/>
      <c r="AC129" s="5"/>
      <c r="AD129" s="5"/>
      <c r="AE129" s="5"/>
      <c r="AF129" s="5"/>
      <c r="AG129" s="5"/>
      <c r="AH129" s="5"/>
      <c r="AI129" s="112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</row>
    <row r="130" ht="18.0" customHeight="1">
      <c r="A130" s="109"/>
      <c r="B130" s="113"/>
      <c r="C130" s="114"/>
      <c r="D130" s="114"/>
      <c r="E130" s="114"/>
      <c r="F130" s="114"/>
      <c r="G130" s="113"/>
      <c r="H130" s="114"/>
      <c r="I130" s="114"/>
      <c r="J130" s="114"/>
      <c r="K130" s="114"/>
      <c r="L130" s="114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2"/>
      <c r="Z130" s="5"/>
      <c r="AA130" s="5"/>
      <c r="AB130" s="5"/>
      <c r="AC130" s="5"/>
      <c r="AD130" s="5"/>
      <c r="AE130" s="5"/>
      <c r="AF130" s="5"/>
      <c r="AG130" s="5"/>
      <c r="AH130" s="5"/>
      <c r="AI130" s="112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</row>
    <row r="131" ht="18.0" customHeight="1">
      <c r="A131" s="109"/>
      <c r="B131" s="113"/>
      <c r="C131" s="114"/>
      <c r="D131" s="114"/>
      <c r="E131" s="114"/>
      <c r="F131" s="114"/>
      <c r="G131" s="113"/>
      <c r="H131" s="114"/>
      <c r="I131" s="114"/>
      <c r="J131" s="114"/>
      <c r="K131" s="114"/>
      <c r="L131" s="114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2"/>
      <c r="Z131" s="5"/>
      <c r="AA131" s="5"/>
      <c r="AB131" s="5"/>
      <c r="AC131" s="5"/>
      <c r="AD131" s="5"/>
      <c r="AE131" s="5"/>
      <c r="AF131" s="5"/>
      <c r="AG131" s="5"/>
      <c r="AH131" s="5"/>
      <c r="AI131" s="112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</row>
    <row r="132" ht="18.0" customHeight="1">
      <c r="A132" s="109"/>
      <c r="B132" s="113"/>
      <c r="C132" s="114"/>
      <c r="D132" s="114"/>
      <c r="E132" s="114"/>
      <c r="F132" s="114"/>
      <c r="G132" s="113"/>
      <c r="H132" s="114"/>
      <c r="I132" s="114"/>
      <c r="J132" s="114"/>
      <c r="K132" s="114"/>
      <c r="L132" s="114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2"/>
      <c r="Z132" s="5"/>
      <c r="AA132" s="5"/>
      <c r="AB132" s="5"/>
      <c r="AC132" s="5"/>
      <c r="AD132" s="5"/>
      <c r="AE132" s="5"/>
      <c r="AF132" s="5"/>
      <c r="AG132" s="5"/>
      <c r="AH132" s="5"/>
      <c r="AI132" s="112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</row>
    <row r="133" ht="18.0" customHeight="1">
      <c r="A133" s="109"/>
      <c r="B133" s="113"/>
      <c r="C133" s="114"/>
      <c r="D133" s="114"/>
      <c r="E133" s="114"/>
      <c r="F133" s="114"/>
      <c r="G133" s="113"/>
      <c r="H133" s="114"/>
      <c r="I133" s="114"/>
      <c r="J133" s="114"/>
      <c r="K133" s="114"/>
      <c r="L133" s="114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2"/>
      <c r="Z133" s="5"/>
      <c r="AA133" s="5"/>
      <c r="AB133" s="5"/>
      <c r="AC133" s="5"/>
      <c r="AD133" s="5"/>
      <c r="AE133" s="5"/>
      <c r="AF133" s="5"/>
      <c r="AG133" s="5"/>
      <c r="AH133" s="5"/>
      <c r="AI133" s="112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</row>
    <row r="134" ht="18.0" customHeight="1">
      <c r="A134" s="109"/>
      <c r="B134" s="113"/>
      <c r="C134" s="114"/>
      <c r="D134" s="114"/>
      <c r="E134" s="114"/>
      <c r="F134" s="114"/>
      <c r="G134" s="113"/>
      <c r="H134" s="114"/>
      <c r="I134" s="114"/>
      <c r="J134" s="114"/>
      <c r="K134" s="114"/>
      <c r="L134" s="114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2"/>
      <c r="Z134" s="5"/>
      <c r="AA134" s="5"/>
      <c r="AB134" s="5"/>
      <c r="AC134" s="5"/>
      <c r="AD134" s="5"/>
      <c r="AE134" s="5"/>
      <c r="AF134" s="5"/>
      <c r="AG134" s="5"/>
      <c r="AH134" s="5"/>
      <c r="AI134" s="112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</row>
    <row r="135" ht="18.0" customHeight="1">
      <c r="A135" s="109"/>
      <c r="B135" s="113"/>
      <c r="C135" s="114"/>
      <c r="D135" s="114"/>
      <c r="E135" s="114"/>
      <c r="F135" s="114"/>
      <c r="G135" s="113"/>
      <c r="H135" s="114"/>
      <c r="I135" s="114"/>
      <c r="J135" s="114"/>
      <c r="K135" s="114"/>
      <c r="L135" s="114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2"/>
      <c r="Z135" s="5"/>
      <c r="AA135" s="5"/>
      <c r="AB135" s="5"/>
      <c r="AC135" s="5"/>
      <c r="AD135" s="5"/>
      <c r="AE135" s="5"/>
      <c r="AF135" s="5"/>
      <c r="AG135" s="5"/>
      <c r="AH135" s="5"/>
      <c r="AI135" s="112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</row>
    <row r="136" ht="18.0" customHeight="1">
      <c r="A136" s="109"/>
      <c r="B136" s="113"/>
      <c r="C136" s="114"/>
      <c r="D136" s="114"/>
      <c r="E136" s="114"/>
      <c r="F136" s="114"/>
      <c r="G136" s="113"/>
      <c r="H136" s="114"/>
      <c r="I136" s="114"/>
      <c r="J136" s="114"/>
      <c r="K136" s="114"/>
      <c r="L136" s="114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2"/>
      <c r="Z136" s="5"/>
      <c r="AA136" s="5"/>
      <c r="AB136" s="5"/>
      <c r="AC136" s="5"/>
      <c r="AD136" s="5"/>
      <c r="AE136" s="5"/>
      <c r="AF136" s="5"/>
      <c r="AG136" s="5"/>
      <c r="AH136" s="5"/>
      <c r="AI136" s="112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</row>
    <row r="137" ht="18.0" customHeight="1">
      <c r="A137" s="109"/>
      <c r="B137" s="113"/>
      <c r="C137" s="114"/>
      <c r="D137" s="114"/>
      <c r="E137" s="114"/>
      <c r="F137" s="114"/>
      <c r="G137" s="113"/>
      <c r="H137" s="114"/>
      <c r="I137" s="114"/>
      <c r="J137" s="114"/>
      <c r="K137" s="114"/>
      <c r="L137" s="114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2"/>
      <c r="Z137" s="5"/>
      <c r="AA137" s="5"/>
      <c r="AB137" s="5"/>
      <c r="AC137" s="5"/>
      <c r="AD137" s="5"/>
      <c r="AE137" s="5"/>
      <c r="AF137" s="5"/>
      <c r="AG137" s="5"/>
      <c r="AH137" s="5"/>
      <c r="AI137" s="112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</row>
    <row r="138" ht="18.0" customHeight="1">
      <c r="A138" s="109"/>
      <c r="B138" s="113"/>
      <c r="C138" s="114"/>
      <c r="D138" s="114"/>
      <c r="E138" s="114"/>
      <c r="F138" s="114"/>
      <c r="G138" s="113"/>
      <c r="H138" s="114"/>
      <c r="I138" s="114"/>
      <c r="J138" s="114"/>
      <c r="K138" s="114"/>
      <c r="L138" s="114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2"/>
      <c r="Z138" s="5"/>
      <c r="AA138" s="5"/>
      <c r="AB138" s="5"/>
      <c r="AC138" s="5"/>
      <c r="AD138" s="5"/>
      <c r="AE138" s="5"/>
      <c r="AF138" s="5"/>
      <c r="AG138" s="5"/>
      <c r="AH138" s="5"/>
      <c r="AI138" s="112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</row>
    <row r="139" ht="18.0" customHeight="1">
      <c r="A139" s="109"/>
      <c r="B139" s="113"/>
      <c r="C139" s="114"/>
      <c r="D139" s="114"/>
      <c r="E139" s="114"/>
      <c r="F139" s="114"/>
      <c r="G139" s="113"/>
      <c r="H139" s="114"/>
      <c r="I139" s="114"/>
      <c r="J139" s="114"/>
      <c r="K139" s="114"/>
      <c r="L139" s="114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2"/>
      <c r="Z139" s="5"/>
      <c r="AA139" s="5"/>
      <c r="AB139" s="5"/>
      <c r="AC139" s="5"/>
      <c r="AD139" s="5"/>
      <c r="AE139" s="5"/>
      <c r="AF139" s="5"/>
      <c r="AG139" s="5"/>
      <c r="AH139" s="5"/>
      <c r="AI139" s="112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</row>
    <row r="140" ht="18.0" customHeight="1">
      <c r="A140" s="109"/>
      <c r="B140" s="113"/>
      <c r="C140" s="114"/>
      <c r="D140" s="114"/>
      <c r="E140" s="114"/>
      <c r="F140" s="114"/>
      <c r="G140" s="113"/>
      <c r="H140" s="114"/>
      <c r="I140" s="114"/>
      <c r="J140" s="114"/>
      <c r="K140" s="114"/>
      <c r="L140" s="114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2"/>
      <c r="Z140" s="5"/>
      <c r="AA140" s="5"/>
      <c r="AB140" s="5"/>
      <c r="AC140" s="5"/>
      <c r="AD140" s="5"/>
      <c r="AE140" s="5"/>
      <c r="AF140" s="5"/>
      <c r="AG140" s="5"/>
      <c r="AH140" s="5"/>
      <c r="AI140" s="112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</row>
    <row r="141" ht="18.0" customHeight="1">
      <c r="A141" s="109"/>
      <c r="B141" s="113"/>
      <c r="C141" s="114"/>
      <c r="D141" s="114"/>
      <c r="E141" s="114"/>
      <c r="F141" s="114"/>
      <c r="G141" s="113"/>
      <c r="H141" s="114"/>
      <c r="I141" s="114"/>
      <c r="J141" s="114"/>
      <c r="K141" s="114"/>
      <c r="L141" s="114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2"/>
      <c r="Z141" s="5"/>
      <c r="AA141" s="5"/>
      <c r="AB141" s="5"/>
      <c r="AC141" s="5"/>
      <c r="AD141" s="5"/>
      <c r="AE141" s="5"/>
      <c r="AF141" s="5"/>
      <c r="AG141" s="5"/>
      <c r="AH141" s="5"/>
      <c r="AI141" s="112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</row>
    <row r="142" ht="18.0" customHeight="1">
      <c r="A142" s="109"/>
      <c r="B142" s="113"/>
      <c r="C142" s="114"/>
      <c r="D142" s="114"/>
      <c r="E142" s="114"/>
      <c r="F142" s="114"/>
      <c r="G142" s="113"/>
      <c r="H142" s="114"/>
      <c r="I142" s="114"/>
      <c r="J142" s="114"/>
      <c r="K142" s="114"/>
      <c r="L142" s="114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2"/>
      <c r="Z142" s="5"/>
      <c r="AA142" s="5"/>
      <c r="AB142" s="5"/>
      <c r="AC142" s="5"/>
      <c r="AD142" s="5"/>
      <c r="AE142" s="5"/>
      <c r="AF142" s="5"/>
      <c r="AG142" s="5"/>
      <c r="AH142" s="5"/>
      <c r="AI142" s="112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</row>
    <row r="143" ht="18.0" customHeight="1">
      <c r="A143" s="109"/>
      <c r="B143" s="113"/>
      <c r="C143" s="114"/>
      <c r="D143" s="114"/>
      <c r="E143" s="114"/>
      <c r="F143" s="114"/>
      <c r="G143" s="113"/>
      <c r="H143" s="114"/>
      <c r="I143" s="114"/>
      <c r="J143" s="114"/>
      <c r="K143" s="114"/>
      <c r="L143" s="114"/>
      <c r="M143" s="110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2"/>
      <c r="Z143" s="5"/>
      <c r="AA143" s="5"/>
      <c r="AB143" s="5"/>
      <c r="AC143" s="5"/>
      <c r="AD143" s="5"/>
      <c r="AE143" s="5"/>
      <c r="AF143" s="5"/>
      <c r="AG143" s="5"/>
      <c r="AH143" s="5"/>
      <c r="AI143" s="112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</row>
    <row r="144" ht="18.0" customHeight="1">
      <c r="A144" s="109"/>
      <c r="B144" s="113"/>
      <c r="C144" s="114"/>
      <c r="D144" s="114"/>
      <c r="E144" s="114"/>
      <c r="F144" s="114"/>
      <c r="G144" s="113"/>
      <c r="H144" s="114"/>
      <c r="I144" s="114"/>
      <c r="J144" s="114"/>
      <c r="K144" s="114"/>
      <c r="L144" s="114"/>
      <c r="M144" s="110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2"/>
      <c r="Z144" s="5"/>
      <c r="AA144" s="5"/>
      <c r="AB144" s="5"/>
      <c r="AC144" s="5"/>
      <c r="AD144" s="5"/>
      <c r="AE144" s="5"/>
      <c r="AF144" s="5"/>
      <c r="AG144" s="5"/>
      <c r="AH144" s="5"/>
      <c r="AI144" s="112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</row>
    <row r="145" ht="18.0" customHeight="1">
      <c r="A145" s="109"/>
      <c r="B145" s="113"/>
      <c r="C145" s="114"/>
      <c r="D145" s="114"/>
      <c r="E145" s="114"/>
      <c r="F145" s="114"/>
      <c r="G145" s="113"/>
      <c r="H145" s="114"/>
      <c r="I145" s="114"/>
      <c r="J145" s="114"/>
      <c r="K145" s="114"/>
      <c r="L145" s="114"/>
      <c r="M145" s="110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2"/>
      <c r="Z145" s="5"/>
      <c r="AA145" s="5"/>
      <c r="AB145" s="5"/>
      <c r="AC145" s="5"/>
      <c r="AD145" s="5"/>
      <c r="AE145" s="5"/>
      <c r="AF145" s="5"/>
      <c r="AG145" s="5"/>
      <c r="AH145" s="5"/>
      <c r="AI145" s="112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</row>
    <row r="146" ht="18.0" customHeight="1">
      <c r="A146" s="109"/>
      <c r="B146" s="113"/>
      <c r="C146" s="114"/>
      <c r="D146" s="114"/>
      <c r="E146" s="114"/>
      <c r="F146" s="114"/>
      <c r="G146" s="113"/>
      <c r="H146" s="114"/>
      <c r="I146" s="114"/>
      <c r="J146" s="114"/>
      <c r="K146" s="114"/>
      <c r="L146" s="114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2"/>
      <c r="Z146" s="5"/>
      <c r="AA146" s="5"/>
      <c r="AB146" s="5"/>
      <c r="AC146" s="5"/>
      <c r="AD146" s="5"/>
      <c r="AE146" s="5"/>
      <c r="AF146" s="5"/>
      <c r="AG146" s="5"/>
      <c r="AH146" s="5"/>
      <c r="AI146" s="112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</row>
    <row r="147" ht="18.0" customHeight="1">
      <c r="A147" s="109"/>
      <c r="B147" s="113"/>
      <c r="C147" s="114"/>
      <c r="D147" s="114"/>
      <c r="E147" s="114"/>
      <c r="F147" s="114"/>
      <c r="G147" s="113"/>
      <c r="H147" s="114"/>
      <c r="I147" s="114"/>
      <c r="J147" s="114"/>
      <c r="K147" s="114"/>
      <c r="L147" s="114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2"/>
      <c r="Z147" s="5"/>
      <c r="AA147" s="5"/>
      <c r="AB147" s="5"/>
      <c r="AC147" s="5"/>
      <c r="AD147" s="5"/>
      <c r="AE147" s="5"/>
      <c r="AF147" s="5"/>
      <c r="AG147" s="5"/>
      <c r="AH147" s="5"/>
      <c r="AI147" s="112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</row>
    <row r="148" ht="18.0" customHeight="1">
      <c r="A148" s="109"/>
      <c r="B148" s="113"/>
      <c r="C148" s="114"/>
      <c r="D148" s="114"/>
      <c r="E148" s="114"/>
      <c r="F148" s="114"/>
      <c r="G148" s="113"/>
      <c r="H148" s="114"/>
      <c r="I148" s="114"/>
      <c r="J148" s="114"/>
      <c r="K148" s="114"/>
      <c r="L148" s="114"/>
      <c r="M148" s="110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2"/>
      <c r="Z148" s="5"/>
      <c r="AA148" s="5"/>
      <c r="AB148" s="5"/>
      <c r="AC148" s="5"/>
      <c r="AD148" s="5"/>
      <c r="AE148" s="5"/>
      <c r="AF148" s="5"/>
      <c r="AG148" s="5"/>
      <c r="AH148" s="5"/>
      <c r="AI148" s="112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</row>
    <row r="149" ht="18.0" customHeight="1">
      <c r="A149" s="109"/>
      <c r="B149" s="113"/>
      <c r="C149" s="114"/>
      <c r="D149" s="114"/>
      <c r="E149" s="114"/>
      <c r="F149" s="114"/>
      <c r="G149" s="113"/>
      <c r="H149" s="114"/>
      <c r="I149" s="114"/>
      <c r="J149" s="114"/>
      <c r="K149" s="114"/>
      <c r="L149" s="114"/>
      <c r="M149" s="110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2"/>
      <c r="Z149" s="5"/>
      <c r="AA149" s="5"/>
      <c r="AB149" s="5"/>
      <c r="AC149" s="5"/>
      <c r="AD149" s="5"/>
      <c r="AE149" s="5"/>
      <c r="AF149" s="5"/>
      <c r="AG149" s="5"/>
      <c r="AH149" s="5"/>
      <c r="AI149" s="112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</row>
    <row r="150" ht="18.0" customHeight="1">
      <c r="A150" s="109"/>
      <c r="B150" s="113"/>
      <c r="C150" s="114"/>
      <c r="D150" s="114"/>
      <c r="E150" s="114"/>
      <c r="F150" s="114"/>
      <c r="G150" s="113"/>
      <c r="H150" s="114"/>
      <c r="I150" s="114"/>
      <c r="J150" s="114"/>
      <c r="K150" s="114"/>
      <c r="L150" s="114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2"/>
      <c r="Z150" s="5"/>
      <c r="AA150" s="5"/>
      <c r="AB150" s="5"/>
      <c r="AC150" s="5"/>
      <c r="AD150" s="5"/>
      <c r="AE150" s="5"/>
      <c r="AF150" s="5"/>
      <c r="AG150" s="5"/>
      <c r="AH150" s="5"/>
      <c r="AI150" s="112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</row>
    <row r="151" ht="18.0" customHeight="1">
      <c r="A151" s="109"/>
      <c r="B151" s="113"/>
      <c r="C151" s="114"/>
      <c r="D151" s="114"/>
      <c r="E151" s="114"/>
      <c r="F151" s="114"/>
      <c r="G151" s="113"/>
      <c r="H151" s="114"/>
      <c r="I151" s="114"/>
      <c r="J151" s="114"/>
      <c r="K151" s="114"/>
      <c r="L151" s="114"/>
      <c r="M151" s="110"/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2"/>
      <c r="Z151" s="5"/>
      <c r="AA151" s="5"/>
      <c r="AB151" s="5"/>
      <c r="AC151" s="5"/>
      <c r="AD151" s="5"/>
      <c r="AE151" s="5"/>
      <c r="AF151" s="5"/>
      <c r="AG151" s="5"/>
      <c r="AH151" s="5"/>
      <c r="AI151" s="112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</row>
    <row r="152" ht="18.0" customHeight="1">
      <c r="A152" s="109"/>
      <c r="B152" s="113"/>
      <c r="C152" s="114"/>
      <c r="D152" s="114"/>
      <c r="E152" s="114"/>
      <c r="F152" s="114"/>
      <c r="G152" s="113"/>
      <c r="H152" s="114"/>
      <c r="I152" s="114"/>
      <c r="J152" s="114"/>
      <c r="K152" s="114"/>
      <c r="L152" s="114"/>
      <c r="M152" s="110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2"/>
      <c r="Z152" s="5"/>
      <c r="AA152" s="5"/>
      <c r="AB152" s="5"/>
      <c r="AC152" s="5"/>
      <c r="AD152" s="5"/>
      <c r="AE152" s="5"/>
      <c r="AF152" s="5"/>
      <c r="AG152" s="5"/>
      <c r="AH152" s="5"/>
      <c r="AI152" s="112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</row>
    <row r="153" ht="18.0" customHeight="1">
      <c r="A153" s="109"/>
      <c r="B153" s="113"/>
      <c r="C153" s="114"/>
      <c r="D153" s="114"/>
      <c r="E153" s="114"/>
      <c r="F153" s="114"/>
      <c r="G153" s="113"/>
      <c r="H153" s="114"/>
      <c r="I153" s="114"/>
      <c r="J153" s="114"/>
      <c r="K153" s="114"/>
      <c r="L153" s="114"/>
      <c r="M153" s="110"/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2"/>
      <c r="Z153" s="5"/>
      <c r="AA153" s="5"/>
      <c r="AB153" s="5"/>
      <c r="AC153" s="5"/>
      <c r="AD153" s="5"/>
      <c r="AE153" s="5"/>
      <c r="AF153" s="5"/>
      <c r="AG153" s="5"/>
      <c r="AH153" s="5"/>
      <c r="AI153" s="112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</row>
    <row r="154" ht="18.0" customHeight="1">
      <c r="A154" s="109"/>
      <c r="B154" s="113"/>
      <c r="C154" s="114"/>
      <c r="D154" s="114"/>
      <c r="E154" s="114"/>
      <c r="F154" s="114"/>
      <c r="G154" s="113"/>
      <c r="H154" s="114"/>
      <c r="I154" s="114"/>
      <c r="J154" s="114"/>
      <c r="K154" s="114"/>
      <c r="L154" s="114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2"/>
      <c r="Z154" s="5"/>
      <c r="AA154" s="5"/>
      <c r="AB154" s="5"/>
      <c r="AC154" s="5"/>
      <c r="AD154" s="5"/>
      <c r="AE154" s="5"/>
      <c r="AF154" s="5"/>
      <c r="AG154" s="5"/>
      <c r="AH154" s="5"/>
      <c r="AI154" s="112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</row>
    <row r="155" ht="18.0" customHeight="1">
      <c r="A155" s="109"/>
      <c r="B155" s="113"/>
      <c r="C155" s="114"/>
      <c r="D155" s="114"/>
      <c r="E155" s="114"/>
      <c r="F155" s="114"/>
      <c r="G155" s="113"/>
      <c r="H155" s="114"/>
      <c r="I155" s="114"/>
      <c r="J155" s="114"/>
      <c r="K155" s="114"/>
      <c r="L155" s="114"/>
      <c r="M155" s="110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2"/>
      <c r="Z155" s="5"/>
      <c r="AA155" s="5"/>
      <c r="AB155" s="5"/>
      <c r="AC155" s="5"/>
      <c r="AD155" s="5"/>
      <c r="AE155" s="5"/>
      <c r="AF155" s="5"/>
      <c r="AG155" s="5"/>
      <c r="AH155" s="5"/>
      <c r="AI155" s="112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</row>
    <row r="156" ht="18.0" customHeight="1">
      <c r="A156" s="109"/>
      <c r="B156" s="113"/>
      <c r="C156" s="114"/>
      <c r="D156" s="114"/>
      <c r="E156" s="114"/>
      <c r="F156" s="114"/>
      <c r="G156" s="113"/>
      <c r="H156" s="114"/>
      <c r="I156" s="114"/>
      <c r="J156" s="114"/>
      <c r="K156" s="114"/>
      <c r="L156" s="114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2"/>
      <c r="Z156" s="5"/>
      <c r="AA156" s="5"/>
      <c r="AB156" s="5"/>
      <c r="AC156" s="5"/>
      <c r="AD156" s="5"/>
      <c r="AE156" s="5"/>
      <c r="AF156" s="5"/>
      <c r="AG156" s="5"/>
      <c r="AH156" s="5"/>
      <c r="AI156" s="112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</row>
    <row r="157" ht="18.0" customHeight="1">
      <c r="A157" s="109"/>
      <c r="B157" s="113"/>
      <c r="C157" s="114"/>
      <c r="D157" s="114"/>
      <c r="E157" s="114"/>
      <c r="F157" s="114"/>
      <c r="G157" s="113"/>
      <c r="H157" s="114"/>
      <c r="I157" s="114"/>
      <c r="J157" s="114"/>
      <c r="K157" s="114"/>
      <c r="L157" s="114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2"/>
      <c r="Z157" s="5"/>
      <c r="AA157" s="5"/>
      <c r="AB157" s="5"/>
      <c r="AC157" s="5"/>
      <c r="AD157" s="5"/>
      <c r="AE157" s="5"/>
      <c r="AF157" s="5"/>
      <c r="AG157" s="5"/>
      <c r="AH157" s="5"/>
      <c r="AI157" s="112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</row>
    <row r="158" ht="18.0" customHeight="1">
      <c r="A158" s="109"/>
      <c r="B158" s="113"/>
      <c r="C158" s="114"/>
      <c r="D158" s="114"/>
      <c r="E158" s="114"/>
      <c r="F158" s="114"/>
      <c r="G158" s="113"/>
      <c r="H158" s="114"/>
      <c r="I158" s="114"/>
      <c r="J158" s="114"/>
      <c r="K158" s="114"/>
      <c r="L158" s="114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2"/>
      <c r="Z158" s="5"/>
      <c r="AA158" s="5"/>
      <c r="AB158" s="5"/>
      <c r="AC158" s="5"/>
      <c r="AD158" s="5"/>
      <c r="AE158" s="5"/>
      <c r="AF158" s="5"/>
      <c r="AG158" s="5"/>
      <c r="AH158" s="5"/>
      <c r="AI158" s="112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</row>
    <row r="159" ht="18.0" customHeight="1">
      <c r="A159" s="109"/>
      <c r="B159" s="113"/>
      <c r="C159" s="114"/>
      <c r="D159" s="114"/>
      <c r="E159" s="114"/>
      <c r="F159" s="114"/>
      <c r="G159" s="113"/>
      <c r="H159" s="114"/>
      <c r="I159" s="114"/>
      <c r="J159" s="114"/>
      <c r="K159" s="114"/>
      <c r="L159" s="114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2"/>
      <c r="Z159" s="5"/>
      <c r="AA159" s="5"/>
      <c r="AB159" s="5"/>
      <c r="AC159" s="5"/>
      <c r="AD159" s="5"/>
      <c r="AE159" s="5"/>
      <c r="AF159" s="5"/>
      <c r="AG159" s="5"/>
      <c r="AH159" s="5"/>
      <c r="AI159" s="112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</row>
    <row r="160" ht="18.0" customHeight="1">
      <c r="A160" s="109"/>
      <c r="B160" s="113"/>
      <c r="C160" s="114"/>
      <c r="D160" s="114"/>
      <c r="E160" s="114"/>
      <c r="F160" s="114"/>
      <c r="G160" s="113"/>
      <c r="H160" s="114"/>
      <c r="I160" s="114"/>
      <c r="J160" s="114"/>
      <c r="K160" s="114"/>
      <c r="L160" s="114"/>
      <c r="M160" s="110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2"/>
      <c r="Z160" s="5"/>
      <c r="AA160" s="5"/>
      <c r="AB160" s="5"/>
      <c r="AC160" s="5"/>
      <c r="AD160" s="5"/>
      <c r="AE160" s="5"/>
      <c r="AF160" s="5"/>
      <c r="AG160" s="5"/>
      <c r="AH160" s="5"/>
      <c r="AI160" s="112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</row>
    <row r="161" ht="18.0" customHeight="1">
      <c r="A161" s="109"/>
      <c r="B161" s="113"/>
      <c r="C161" s="114"/>
      <c r="D161" s="114"/>
      <c r="E161" s="114"/>
      <c r="F161" s="114"/>
      <c r="G161" s="113"/>
      <c r="H161" s="114"/>
      <c r="I161" s="114"/>
      <c r="J161" s="114"/>
      <c r="K161" s="114"/>
      <c r="L161" s="114"/>
      <c r="M161" s="110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2"/>
      <c r="Z161" s="5"/>
      <c r="AA161" s="5"/>
      <c r="AB161" s="5"/>
      <c r="AC161" s="5"/>
      <c r="AD161" s="5"/>
      <c r="AE161" s="5"/>
      <c r="AF161" s="5"/>
      <c r="AG161" s="5"/>
      <c r="AH161" s="5"/>
      <c r="AI161" s="112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</row>
    <row r="162" ht="18.0" customHeight="1">
      <c r="A162" s="109"/>
      <c r="B162" s="113"/>
      <c r="C162" s="114"/>
      <c r="D162" s="114"/>
      <c r="E162" s="114"/>
      <c r="F162" s="114"/>
      <c r="G162" s="113"/>
      <c r="H162" s="114"/>
      <c r="I162" s="114"/>
      <c r="J162" s="114"/>
      <c r="K162" s="114"/>
      <c r="L162" s="114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2"/>
      <c r="Z162" s="5"/>
      <c r="AA162" s="5"/>
      <c r="AB162" s="5"/>
      <c r="AC162" s="5"/>
      <c r="AD162" s="5"/>
      <c r="AE162" s="5"/>
      <c r="AF162" s="5"/>
      <c r="AG162" s="5"/>
      <c r="AH162" s="5"/>
      <c r="AI162" s="112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</row>
    <row r="163" ht="18.0" customHeight="1">
      <c r="A163" s="109"/>
      <c r="B163" s="113"/>
      <c r="C163" s="114"/>
      <c r="D163" s="114"/>
      <c r="E163" s="114"/>
      <c r="F163" s="114"/>
      <c r="G163" s="113"/>
      <c r="H163" s="114"/>
      <c r="I163" s="114"/>
      <c r="J163" s="114"/>
      <c r="K163" s="114"/>
      <c r="L163" s="114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2"/>
      <c r="Z163" s="5"/>
      <c r="AA163" s="5"/>
      <c r="AB163" s="5"/>
      <c r="AC163" s="5"/>
      <c r="AD163" s="5"/>
      <c r="AE163" s="5"/>
      <c r="AF163" s="5"/>
      <c r="AG163" s="5"/>
      <c r="AH163" s="5"/>
      <c r="AI163" s="112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</row>
    <row r="164" ht="18.0" customHeight="1">
      <c r="A164" s="109"/>
      <c r="B164" s="113"/>
      <c r="C164" s="114"/>
      <c r="D164" s="114"/>
      <c r="E164" s="114"/>
      <c r="F164" s="114"/>
      <c r="G164" s="113"/>
      <c r="H164" s="114"/>
      <c r="I164" s="114"/>
      <c r="J164" s="114"/>
      <c r="K164" s="114"/>
      <c r="L164" s="114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2"/>
      <c r="Z164" s="5"/>
      <c r="AA164" s="5"/>
      <c r="AB164" s="5"/>
      <c r="AC164" s="5"/>
      <c r="AD164" s="5"/>
      <c r="AE164" s="5"/>
      <c r="AF164" s="5"/>
      <c r="AG164" s="5"/>
      <c r="AH164" s="5"/>
      <c r="AI164" s="112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</row>
    <row r="165" ht="18.0" customHeight="1">
      <c r="A165" s="109"/>
      <c r="B165" s="113"/>
      <c r="C165" s="114"/>
      <c r="D165" s="114"/>
      <c r="E165" s="114"/>
      <c r="F165" s="114"/>
      <c r="G165" s="113"/>
      <c r="H165" s="114"/>
      <c r="I165" s="114"/>
      <c r="J165" s="114"/>
      <c r="K165" s="114"/>
      <c r="L165" s="114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2"/>
      <c r="Z165" s="5"/>
      <c r="AA165" s="5"/>
      <c r="AB165" s="5"/>
      <c r="AC165" s="5"/>
      <c r="AD165" s="5"/>
      <c r="AE165" s="5"/>
      <c r="AF165" s="5"/>
      <c r="AG165" s="5"/>
      <c r="AH165" s="5"/>
      <c r="AI165" s="112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</row>
    <row r="166" ht="18.0" customHeight="1">
      <c r="A166" s="109"/>
      <c r="B166" s="113"/>
      <c r="C166" s="114"/>
      <c r="D166" s="114"/>
      <c r="E166" s="114"/>
      <c r="F166" s="114"/>
      <c r="G166" s="113"/>
      <c r="H166" s="114"/>
      <c r="I166" s="114"/>
      <c r="J166" s="114"/>
      <c r="K166" s="114"/>
      <c r="L166" s="114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2"/>
      <c r="Z166" s="5"/>
      <c r="AA166" s="5"/>
      <c r="AB166" s="5"/>
      <c r="AC166" s="5"/>
      <c r="AD166" s="5"/>
      <c r="AE166" s="5"/>
      <c r="AF166" s="5"/>
      <c r="AG166" s="5"/>
      <c r="AH166" s="5"/>
      <c r="AI166" s="112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</row>
    <row r="167" ht="18.0" customHeight="1">
      <c r="A167" s="109"/>
      <c r="B167" s="113"/>
      <c r="C167" s="114"/>
      <c r="D167" s="114"/>
      <c r="E167" s="114"/>
      <c r="F167" s="114"/>
      <c r="G167" s="113"/>
      <c r="H167" s="114"/>
      <c r="I167" s="114"/>
      <c r="J167" s="114"/>
      <c r="K167" s="114"/>
      <c r="L167" s="114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2"/>
      <c r="Z167" s="5"/>
      <c r="AA167" s="5"/>
      <c r="AB167" s="5"/>
      <c r="AC167" s="5"/>
      <c r="AD167" s="5"/>
      <c r="AE167" s="5"/>
      <c r="AF167" s="5"/>
      <c r="AG167" s="5"/>
      <c r="AH167" s="5"/>
      <c r="AI167" s="112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</row>
    <row r="168" ht="18.0" customHeight="1">
      <c r="A168" s="109"/>
      <c r="B168" s="113"/>
      <c r="C168" s="114"/>
      <c r="D168" s="114"/>
      <c r="E168" s="114"/>
      <c r="F168" s="114"/>
      <c r="G168" s="113"/>
      <c r="H168" s="114"/>
      <c r="I168" s="114"/>
      <c r="J168" s="114"/>
      <c r="K168" s="114"/>
      <c r="L168" s="114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2"/>
      <c r="Z168" s="5"/>
      <c r="AA168" s="5"/>
      <c r="AB168" s="5"/>
      <c r="AC168" s="5"/>
      <c r="AD168" s="5"/>
      <c r="AE168" s="5"/>
      <c r="AF168" s="5"/>
      <c r="AG168" s="5"/>
      <c r="AH168" s="5"/>
      <c r="AI168" s="112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</row>
    <row r="169" ht="18.0" customHeight="1">
      <c r="A169" s="109"/>
      <c r="B169" s="113"/>
      <c r="C169" s="114"/>
      <c r="D169" s="114"/>
      <c r="E169" s="114"/>
      <c r="F169" s="114"/>
      <c r="G169" s="113"/>
      <c r="H169" s="114"/>
      <c r="I169" s="114"/>
      <c r="J169" s="114"/>
      <c r="K169" s="114"/>
      <c r="L169" s="114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2"/>
      <c r="Z169" s="5"/>
      <c r="AA169" s="5"/>
      <c r="AB169" s="5"/>
      <c r="AC169" s="5"/>
      <c r="AD169" s="5"/>
      <c r="AE169" s="5"/>
      <c r="AF169" s="5"/>
      <c r="AG169" s="5"/>
      <c r="AH169" s="5"/>
      <c r="AI169" s="112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</row>
    <row r="170" ht="18.0" customHeight="1">
      <c r="A170" s="109"/>
      <c r="B170" s="113"/>
      <c r="C170" s="114"/>
      <c r="D170" s="114"/>
      <c r="E170" s="114"/>
      <c r="F170" s="114"/>
      <c r="G170" s="113"/>
      <c r="H170" s="114"/>
      <c r="I170" s="114"/>
      <c r="J170" s="114"/>
      <c r="K170" s="114"/>
      <c r="L170" s="114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2"/>
      <c r="Z170" s="5"/>
      <c r="AA170" s="5"/>
      <c r="AB170" s="5"/>
      <c r="AC170" s="5"/>
      <c r="AD170" s="5"/>
      <c r="AE170" s="5"/>
      <c r="AF170" s="5"/>
      <c r="AG170" s="5"/>
      <c r="AH170" s="5"/>
      <c r="AI170" s="112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</row>
    <row r="171" ht="18.0" customHeight="1">
      <c r="A171" s="109"/>
      <c r="B171" s="113"/>
      <c r="C171" s="114"/>
      <c r="D171" s="114"/>
      <c r="E171" s="114"/>
      <c r="F171" s="114"/>
      <c r="G171" s="113"/>
      <c r="H171" s="114"/>
      <c r="I171" s="114"/>
      <c r="J171" s="114"/>
      <c r="K171" s="114"/>
      <c r="L171" s="114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2"/>
      <c r="Z171" s="5"/>
      <c r="AA171" s="5"/>
      <c r="AB171" s="5"/>
      <c r="AC171" s="5"/>
      <c r="AD171" s="5"/>
      <c r="AE171" s="5"/>
      <c r="AF171" s="5"/>
      <c r="AG171" s="5"/>
      <c r="AH171" s="5"/>
      <c r="AI171" s="112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</row>
    <row r="172" ht="18.0" customHeight="1">
      <c r="A172" s="109"/>
      <c r="B172" s="113"/>
      <c r="C172" s="114"/>
      <c r="D172" s="114"/>
      <c r="E172" s="114"/>
      <c r="F172" s="114"/>
      <c r="G172" s="113"/>
      <c r="H172" s="114"/>
      <c r="I172" s="114"/>
      <c r="J172" s="114"/>
      <c r="K172" s="114"/>
      <c r="L172" s="114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2"/>
      <c r="Z172" s="5"/>
      <c r="AA172" s="5"/>
      <c r="AB172" s="5"/>
      <c r="AC172" s="5"/>
      <c r="AD172" s="5"/>
      <c r="AE172" s="5"/>
      <c r="AF172" s="5"/>
      <c r="AG172" s="5"/>
      <c r="AH172" s="5"/>
      <c r="AI172" s="112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</row>
    <row r="173" ht="18.0" customHeight="1">
      <c r="A173" s="109"/>
      <c r="B173" s="113"/>
      <c r="C173" s="114"/>
      <c r="D173" s="114"/>
      <c r="E173" s="114"/>
      <c r="F173" s="114"/>
      <c r="G173" s="113"/>
      <c r="H173" s="114"/>
      <c r="I173" s="114"/>
      <c r="J173" s="114"/>
      <c r="K173" s="114"/>
      <c r="L173" s="114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2"/>
      <c r="Z173" s="5"/>
      <c r="AA173" s="5"/>
      <c r="AB173" s="5"/>
      <c r="AC173" s="5"/>
      <c r="AD173" s="5"/>
      <c r="AE173" s="5"/>
      <c r="AF173" s="5"/>
      <c r="AG173" s="5"/>
      <c r="AH173" s="5"/>
      <c r="AI173" s="112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</row>
    <row r="174" ht="18.0" customHeight="1">
      <c r="A174" s="109"/>
      <c r="B174" s="113"/>
      <c r="C174" s="114"/>
      <c r="D174" s="114"/>
      <c r="E174" s="114"/>
      <c r="F174" s="114"/>
      <c r="G174" s="113"/>
      <c r="H174" s="114"/>
      <c r="I174" s="114"/>
      <c r="J174" s="114"/>
      <c r="K174" s="114"/>
      <c r="L174" s="114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2"/>
      <c r="Z174" s="5"/>
      <c r="AA174" s="5"/>
      <c r="AB174" s="5"/>
      <c r="AC174" s="5"/>
      <c r="AD174" s="5"/>
      <c r="AE174" s="5"/>
      <c r="AF174" s="5"/>
      <c r="AG174" s="5"/>
      <c r="AH174" s="5"/>
      <c r="AI174" s="112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</row>
    <row r="175" ht="18.0" customHeight="1">
      <c r="A175" s="109"/>
      <c r="B175" s="113"/>
      <c r="C175" s="114"/>
      <c r="D175" s="114"/>
      <c r="E175" s="114"/>
      <c r="F175" s="114"/>
      <c r="G175" s="113"/>
      <c r="H175" s="114"/>
      <c r="I175" s="114"/>
      <c r="J175" s="114"/>
      <c r="K175" s="114"/>
      <c r="L175" s="114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2"/>
      <c r="Z175" s="5"/>
      <c r="AA175" s="5"/>
      <c r="AB175" s="5"/>
      <c r="AC175" s="5"/>
      <c r="AD175" s="5"/>
      <c r="AE175" s="5"/>
      <c r="AF175" s="5"/>
      <c r="AG175" s="5"/>
      <c r="AH175" s="5"/>
      <c r="AI175" s="112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</row>
    <row r="176" ht="18.0" customHeight="1">
      <c r="A176" s="109"/>
      <c r="B176" s="113"/>
      <c r="C176" s="114"/>
      <c r="D176" s="114"/>
      <c r="E176" s="114"/>
      <c r="F176" s="114"/>
      <c r="G176" s="113"/>
      <c r="H176" s="114"/>
      <c r="I176" s="114"/>
      <c r="J176" s="114"/>
      <c r="K176" s="114"/>
      <c r="L176" s="114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2"/>
      <c r="Z176" s="5"/>
      <c r="AA176" s="5"/>
      <c r="AB176" s="5"/>
      <c r="AC176" s="5"/>
      <c r="AD176" s="5"/>
      <c r="AE176" s="5"/>
      <c r="AF176" s="5"/>
      <c r="AG176" s="5"/>
      <c r="AH176" s="5"/>
      <c r="AI176" s="112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</row>
    <row r="177" ht="18.0" customHeight="1">
      <c r="A177" s="109"/>
      <c r="B177" s="113"/>
      <c r="C177" s="114"/>
      <c r="D177" s="114"/>
      <c r="E177" s="114"/>
      <c r="F177" s="114"/>
      <c r="G177" s="113"/>
      <c r="H177" s="114"/>
      <c r="I177" s="114"/>
      <c r="J177" s="114"/>
      <c r="K177" s="114"/>
      <c r="L177" s="114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2"/>
      <c r="Z177" s="5"/>
      <c r="AA177" s="5"/>
      <c r="AB177" s="5"/>
      <c r="AC177" s="5"/>
      <c r="AD177" s="5"/>
      <c r="AE177" s="5"/>
      <c r="AF177" s="5"/>
      <c r="AG177" s="5"/>
      <c r="AH177" s="5"/>
      <c r="AI177" s="112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</row>
    <row r="178" ht="18.0" customHeight="1">
      <c r="A178" s="109"/>
      <c r="B178" s="113"/>
      <c r="C178" s="114"/>
      <c r="D178" s="114"/>
      <c r="E178" s="114"/>
      <c r="F178" s="114"/>
      <c r="G178" s="113"/>
      <c r="H178" s="114"/>
      <c r="I178" s="114"/>
      <c r="J178" s="114"/>
      <c r="K178" s="114"/>
      <c r="L178" s="114"/>
      <c r="M178" s="110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2"/>
      <c r="Z178" s="5"/>
      <c r="AA178" s="5"/>
      <c r="AB178" s="5"/>
      <c r="AC178" s="5"/>
      <c r="AD178" s="5"/>
      <c r="AE178" s="5"/>
      <c r="AF178" s="5"/>
      <c r="AG178" s="5"/>
      <c r="AH178" s="5"/>
      <c r="AI178" s="112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</row>
    <row r="179" ht="18.0" customHeight="1">
      <c r="A179" s="109"/>
      <c r="B179" s="113"/>
      <c r="C179" s="114"/>
      <c r="D179" s="114"/>
      <c r="E179" s="114"/>
      <c r="F179" s="114"/>
      <c r="G179" s="113"/>
      <c r="H179" s="114"/>
      <c r="I179" s="114"/>
      <c r="J179" s="114"/>
      <c r="K179" s="114"/>
      <c r="L179" s="114"/>
      <c r="M179" s="110"/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2"/>
      <c r="Z179" s="5"/>
      <c r="AA179" s="5"/>
      <c r="AB179" s="5"/>
      <c r="AC179" s="5"/>
      <c r="AD179" s="5"/>
      <c r="AE179" s="5"/>
      <c r="AF179" s="5"/>
      <c r="AG179" s="5"/>
      <c r="AH179" s="5"/>
      <c r="AI179" s="112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</row>
    <row r="180" ht="18.0" customHeight="1">
      <c r="A180" s="109"/>
      <c r="B180" s="113"/>
      <c r="C180" s="114"/>
      <c r="D180" s="114"/>
      <c r="E180" s="114"/>
      <c r="F180" s="114"/>
      <c r="G180" s="113"/>
      <c r="H180" s="114"/>
      <c r="I180" s="114"/>
      <c r="J180" s="114"/>
      <c r="K180" s="114"/>
      <c r="L180" s="114"/>
      <c r="M180" s="110"/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2"/>
      <c r="Z180" s="5"/>
      <c r="AA180" s="5"/>
      <c r="AB180" s="5"/>
      <c r="AC180" s="5"/>
      <c r="AD180" s="5"/>
      <c r="AE180" s="5"/>
      <c r="AF180" s="5"/>
      <c r="AG180" s="5"/>
      <c r="AH180" s="5"/>
      <c r="AI180" s="112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</row>
    <row r="181" ht="18.0" customHeight="1">
      <c r="A181" s="109"/>
      <c r="B181" s="113"/>
      <c r="C181" s="114"/>
      <c r="D181" s="114"/>
      <c r="E181" s="114"/>
      <c r="F181" s="114"/>
      <c r="G181" s="113"/>
      <c r="H181" s="114"/>
      <c r="I181" s="114"/>
      <c r="J181" s="114"/>
      <c r="K181" s="114"/>
      <c r="L181" s="114"/>
      <c r="M181" s="110"/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2"/>
      <c r="Z181" s="5"/>
      <c r="AA181" s="5"/>
      <c r="AB181" s="5"/>
      <c r="AC181" s="5"/>
      <c r="AD181" s="5"/>
      <c r="AE181" s="5"/>
      <c r="AF181" s="5"/>
      <c r="AG181" s="5"/>
      <c r="AH181" s="5"/>
      <c r="AI181" s="112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</row>
    <row r="182" ht="18.0" customHeight="1">
      <c r="A182" s="109"/>
      <c r="B182" s="113"/>
      <c r="C182" s="114"/>
      <c r="D182" s="114"/>
      <c r="E182" s="114"/>
      <c r="F182" s="114"/>
      <c r="G182" s="113"/>
      <c r="H182" s="114"/>
      <c r="I182" s="114"/>
      <c r="J182" s="114"/>
      <c r="K182" s="114"/>
      <c r="L182" s="114"/>
      <c r="M182" s="110"/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2"/>
      <c r="Z182" s="5"/>
      <c r="AA182" s="5"/>
      <c r="AB182" s="5"/>
      <c r="AC182" s="5"/>
      <c r="AD182" s="5"/>
      <c r="AE182" s="5"/>
      <c r="AF182" s="5"/>
      <c r="AG182" s="5"/>
      <c r="AH182" s="5"/>
      <c r="AI182" s="112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</row>
    <row r="183" ht="18.0" customHeight="1">
      <c r="A183" s="109"/>
      <c r="B183" s="113"/>
      <c r="C183" s="114"/>
      <c r="D183" s="114"/>
      <c r="E183" s="114"/>
      <c r="F183" s="114"/>
      <c r="G183" s="113"/>
      <c r="H183" s="114"/>
      <c r="I183" s="114"/>
      <c r="J183" s="114"/>
      <c r="K183" s="114"/>
      <c r="L183" s="114"/>
      <c r="M183" s="110"/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2"/>
      <c r="Z183" s="5"/>
      <c r="AA183" s="5"/>
      <c r="AB183" s="5"/>
      <c r="AC183" s="5"/>
      <c r="AD183" s="5"/>
      <c r="AE183" s="5"/>
      <c r="AF183" s="5"/>
      <c r="AG183" s="5"/>
      <c r="AH183" s="5"/>
      <c r="AI183" s="112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</row>
    <row r="184" ht="18.0" customHeight="1">
      <c r="A184" s="109"/>
      <c r="B184" s="113"/>
      <c r="C184" s="114"/>
      <c r="D184" s="114"/>
      <c r="E184" s="114"/>
      <c r="F184" s="114"/>
      <c r="G184" s="113"/>
      <c r="H184" s="114"/>
      <c r="I184" s="114"/>
      <c r="J184" s="114"/>
      <c r="K184" s="114"/>
      <c r="L184" s="114"/>
      <c r="M184" s="110"/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2"/>
      <c r="Z184" s="5"/>
      <c r="AA184" s="5"/>
      <c r="AB184" s="5"/>
      <c r="AC184" s="5"/>
      <c r="AD184" s="5"/>
      <c r="AE184" s="5"/>
      <c r="AF184" s="5"/>
      <c r="AG184" s="5"/>
      <c r="AH184" s="5"/>
      <c r="AI184" s="112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</row>
    <row r="185" ht="18.0" customHeight="1">
      <c r="A185" s="109"/>
      <c r="B185" s="113"/>
      <c r="C185" s="114"/>
      <c r="D185" s="114"/>
      <c r="E185" s="114"/>
      <c r="F185" s="114"/>
      <c r="G185" s="113"/>
      <c r="H185" s="114"/>
      <c r="I185" s="114"/>
      <c r="J185" s="114"/>
      <c r="K185" s="114"/>
      <c r="L185" s="114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2"/>
      <c r="Z185" s="5"/>
      <c r="AA185" s="5"/>
      <c r="AB185" s="5"/>
      <c r="AC185" s="5"/>
      <c r="AD185" s="5"/>
      <c r="AE185" s="5"/>
      <c r="AF185" s="5"/>
      <c r="AG185" s="5"/>
      <c r="AH185" s="5"/>
      <c r="AI185" s="112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</row>
    <row r="186" ht="18.0" customHeight="1">
      <c r="A186" s="109"/>
      <c r="B186" s="113"/>
      <c r="C186" s="114"/>
      <c r="D186" s="114"/>
      <c r="E186" s="114"/>
      <c r="F186" s="114"/>
      <c r="G186" s="113"/>
      <c r="H186" s="114"/>
      <c r="I186" s="114"/>
      <c r="J186" s="114"/>
      <c r="K186" s="114"/>
      <c r="L186" s="114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2"/>
      <c r="Z186" s="5"/>
      <c r="AA186" s="5"/>
      <c r="AB186" s="5"/>
      <c r="AC186" s="5"/>
      <c r="AD186" s="5"/>
      <c r="AE186" s="5"/>
      <c r="AF186" s="5"/>
      <c r="AG186" s="5"/>
      <c r="AH186" s="5"/>
      <c r="AI186" s="112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</row>
    <row r="187" ht="18.0" customHeight="1">
      <c r="A187" s="109"/>
      <c r="B187" s="113"/>
      <c r="C187" s="114"/>
      <c r="D187" s="114"/>
      <c r="E187" s="114"/>
      <c r="F187" s="114"/>
      <c r="G187" s="113"/>
      <c r="H187" s="114"/>
      <c r="I187" s="114"/>
      <c r="J187" s="114"/>
      <c r="K187" s="114"/>
      <c r="L187" s="114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2"/>
      <c r="Z187" s="5"/>
      <c r="AA187" s="5"/>
      <c r="AB187" s="5"/>
      <c r="AC187" s="5"/>
      <c r="AD187" s="5"/>
      <c r="AE187" s="5"/>
      <c r="AF187" s="5"/>
      <c r="AG187" s="5"/>
      <c r="AH187" s="5"/>
      <c r="AI187" s="112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</row>
    <row r="188" ht="18.0" customHeight="1">
      <c r="A188" s="109"/>
      <c r="B188" s="113"/>
      <c r="C188" s="114"/>
      <c r="D188" s="114"/>
      <c r="E188" s="114"/>
      <c r="F188" s="114"/>
      <c r="G188" s="113"/>
      <c r="H188" s="114"/>
      <c r="I188" s="114"/>
      <c r="J188" s="114"/>
      <c r="K188" s="114"/>
      <c r="L188" s="114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2"/>
      <c r="Z188" s="5"/>
      <c r="AA188" s="5"/>
      <c r="AB188" s="5"/>
      <c r="AC188" s="5"/>
      <c r="AD188" s="5"/>
      <c r="AE188" s="5"/>
      <c r="AF188" s="5"/>
      <c r="AG188" s="5"/>
      <c r="AH188" s="5"/>
      <c r="AI188" s="112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</row>
    <row r="189" ht="18.0" customHeight="1">
      <c r="A189" s="109"/>
      <c r="B189" s="113"/>
      <c r="C189" s="114"/>
      <c r="D189" s="114"/>
      <c r="E189" s="114"/>
      <c r="F189" s="114"/>
      <c r="G189" s="113"/>
      <c r="H189" s="114"/>
      <c r="I189" s="114"/>
      <c r="J189" s="114"/>
      <c r="K189" s="114"/>
      <c r="L189" s="114"/>
      <c r="M189" s="110"/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2"/>
      <c r="Z189" s="5"/>
      <c r="AA189" s="5"/>
      <c r="AB189" s="5"/>
      <c r="AC189" s="5"/>
      <c r="AD189" s="5"/>
      <c r="AE189" s="5"/>
      <c r="AF189" s="5"/>
      <c r="AG189" s="5"/>
      <c r="AH189" s="5"/>
      <c r="AI189" s="112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</row>
    <row r="190" ht="18.0" customHeight="1">
      <c r="A190" s="109"/>
      <c r="B190" s="113"/>
      <c r="C190" s="114"/>
      <c r="D190" s="114"/>
      <c r="E190" s="114"/>
      <c r="F190" s="114"/>
      <c r="G190" s="113"/>
      <c r="H190" s="114"/>
      <c r="I190" s="114"/>
      <c r="J190" s="114"/>
      <c r="K190" s="114"/>
      <c r="L190" s="114"/>
      <c r="M190" s="110"/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2"/>
      <c r="Z190" s="5"/>
      <c r="AA190" s="5"/>
      <c r="AB190" s="5"/>
      <c r="AC190" s="5"/>
      <c r="AD190" s="5"/>
      <c r="AE190" s="5"/>
      <c r="AF190" s="5"/>
      <c r="AG190" s="5"/>
      <c r="AH190" s="5"/>
      <c r="AI190" s="112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</row>
    <row r="191" ht="18.0" customHeight="1">
      <c r="A191" s="109"/>
      <c r="B191" s="113"/>
      <c r="C191" s="114"/>
      <c r="D191" s="114"/>
      <c r="E191" s="114"/>
      <c r="F191" s="114"/>
      <c r="G191" s="113"/>
      <c r="H191" s="114"/>
      <c r="I191" s="114"/>
      <c r="J191" s="114"/>
      <c r="K191" s="114"/>
      <c r="L191" s="114"/>
      <c r="M191" s="110"/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2"/>
      <c r="Z191" s="5"/>
      <c r="AA191" s="5"/>
      <c r="AB191" s="5"/>
      <c r="AC191" s="5"/>
      <c r="AD191" s="5"/>
      <c r="AE191" s="5"/>
      <c r="AF191" s="5"/>
      <c r="AG191" s="5"/>
      <c r="AH191" s="5"/>
      <c r="AI191" s="112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</row>
    <row r="192" ht="18.0" customHeight="1">
      <c r="A192" s="109"/>
      <c r="B192" s="113"/>
      <c r="C192" s="114"/>
      <c r="D192" s="114"/>
      <c r="E192" s="114"/>
      <c r="F192" s="114"/>
      <c r="G192" s="113"/>
      <c r="H192" s="114"/>
      <c r="I192" s="114"/>
      <c r="J192" s="114"/>
      <c r="K192" s="114"/>
      <c r="L192" s="114"/>
      <c r="M192" s="110"/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2"/>
      <c r="Z192" s="5"/>
      <c r="AA192" s="5"/>
      <c r="AB192" s="5"/>
      <c r="AC192" s="5"/>
      <c r="AD192" s="5"/>
      <c r="AE192" s="5"/>
      <c r="AF192" s="5"/>
      <c r="AG192" s="5"/>
      <c r="AH192" s="5"/>
      <c r="AI192" s="112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</row>
    <row r="193" ht="18.0" customHeight="1">
      <c r="A193" s="109"/>
      <c r="B193" s="113"/>
      <c r="C193" s="114"/>
      <c r="D193" s="114"/>
      <c r="E193" s="114"/>
      <c r="F193" s="114"/>
      <c r="G193" s="113"/>
      <c r="H193" s="114"/>
      <c r="I193" s="114"/>
      <c r="J193" s="114"/>
      <c r="K193" s="114"/>
      <c r="L193" s="114"/>
      <c r="M193" s="110"/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2"/>
      <c r="Z193" s="5"/>
      <c r="AA193" s="5"/>
      <c r="AB193" s="5"/>
      <c r="AC193" s="5"/>
      <c r="AD193" s="5"/>
      <c r="AE193" s="5"/>
      <c r="AF193" s="5"/>
      <c r="AG193" s="5"/>
      <c r="AH193" s="5"/>
      <c r="AI193" s="112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</row>
    <row r="194" ht="18.0" customHeight="1">
      <c r="A194" s="109"/>
      <c r="B194" s="113"/>
      <c r="C194" s="114"/>
      <c r="D194" s="114"/>
      <c r="E194" s="114"/>
      <c r="F194" s="114"/>
      <c r="G194" s="113"/>
      <c r="H194" s="114"/>
      <c r="I194" s="114"/>
      <c r="J194" s="114"/>
      <c r="K194" s="114"/>
      <c r="L194" s="114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2"/>
      <c r="Z194" s="5"/>
      <c r="AA194" s="5"/>
      <c r="AB194" s="5"/>
      <c r="AC194" s="5"/>
      <c r="AD194" s="5"/>
      <c r="AE194" s="5"/>
      <c r="AF194" s="5"/>
      <c r="AG194" s="5"/>
      <c r="AH194" s="5"/>
      <c r="AI194" s="112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</row>
    <row r="195" ht="18.0" customHeight="1">
      <c r="A195" s="109"/>
      <c r="B195" s="113"/>
      <c r="C195" s="114"/>
      <c r="D195" s="114"/>
      <c r="E195" s="114"/>
      <c r="F195" s="114"/>
      <c r="G195" s="113"/>
      <c r="H195" s="114"/>
      <c r="I195" s="114"/>
      <c r="J195" s="114"/>
      <c r="K195" s="114"/>
      <c r="L195" s="114"/>
      <c r="M195" s="110"/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2"/>
      <c r="Z195" s="5"/>
      <c r="AA195" s="5"/>
      <c r="AB195" s="5"/>
      <c r="AC195" s="5"/>
      <c r="AD195" s="5"/>
      <c r="AE195" s="5"/>
      <c r="AF195" s="5"/>
      <c r="AG195" s="5"/>
      <c r="AH195" s="5"/>
      <c r="AI195" s="112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</row>
    <row r="196" ht="18.0" customHeight="1">
      <c r="A196" s="109"/>
      <c r="B196" s="113"/>
      <c r="C196" s="114"/>
      <c r="D196" s="114"/>
      <c r="E196" s="114"/>
      <c r="F196" s="114"/>
      <c r="G196" s="113"/>
      <c r="H196" s="114"/>
      <c r="I196" s="114"/>
      <c r="J196" s="114"/>
      <c r="K196" s="114"/>
      <c r="L196" s="114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2"/>
      <c r="Z196" s="5"/>
      <c r="AA196" s="5"/>
      <c r="AB196" s="5"/>
      <c r="AC196" s="5"/>
      <c r="AD196" s="5"/>
      <c r="AE196" s="5"/>
      <c r="AF196" s="5"/>
      <c r="AG196" s="5"/>
      <c r="AH196" s="5"/>
      <c r="AI196" s="112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</row>
    <row r="197" ht="18.0" customHeight="1">
      <c r="A197" s="109"/>
      <c r="B197" s="113"/>
      <c r="C197" s="114"/>
      <c r="D197" s="114"/>
      <c r="E197" s="114"/>
      <c r="F197" s="114"/>
      <c r="G197" s="113"/>
      <c r="H197" s="114"/>
      <c r="I197" s="114"/>
      <c r="J197" s="114"/>
      <c r="K197" s="114"/>
      <c r="L197" s="114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2"/>
      <c r="Z197" s="5"/>
      <c r="AA197" s="5"/>
      <c r="AB197" s="5"/>
      <c r="AC197" s="5"/>
      <c r="AD197" s="5"/>
      <c r="AE197" s="5"/>
      <c r="AF197" s="5"/>
      <c r="AG197" s="5"/>
      <c r="AH197" s="5"/>
      <c r="AI197" s="112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</row>
    <row r="198" ht="18.0" customHeight="1">
      <c r="A198" s="109"/>
      <c r="B198" s="113"/>
      <c r="C198" s="114"/>
      <c r="D198" s="114"/>
      <c r="E198" s="114"/>
      <c r="F198" s="114"/>
      <c r="G198" s="113"/>
      <c r="H198" s="114"/>
      <c r="I198" s="114"/>
      <c r="J198" s="114"/>
      <c r="K198" s="114"/>
      <c r="L198" s="114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2"/>
      <c r="Z198" s="5"/>
      <c r="AA198" s="5"/>
      <c r="AB198" s="5"/>
      <c r="AC198" s="5"/>
      <c r="AD198" s="5"/>
      <c r="AE198" s="5"/>
      <c r="AF198" s="5"/>
      <c r="AG198" s="5"/>
      <c r="AH198" s="5"/>
      <c r="AI198" s="112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</row>
    <row r="199" ht="18.0" customHeight="1">
      <c r="A199" s="109"/>
      <c r="B199" s="113"/>
      <c r="C199" s="114"/>
      <c r="D199" s="114"/>
      <c r="E199" s="114"/>
      <c r="F199" s="114"/>
      <c r="G199" s="113"/>
      <c r="H199" s="114"/>
      <c r="I199" s="114"/>
      <c r="J199" s="114"/>
      <c r="K199" s="114"/>
      <c r="L199" s="114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2"/>
      <c r="Z199" s="5"/>
      <c r="AA199" s="5"/>
      <c r="AB199" s="5"/>
      <c r="AC199" s="5"/>
      <c r="AD199" s="5"/>
      <c r="AE199" s="5"/>
      <c r="AF199" s="5"/>
      <c r="AG199" s="5"/>
      <c r="AH199" s="5"/>
      <c r="AI199" s="112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</row>
    <row r="200" ht="18.0" customHeight="1">
      <c r="A200" s="109"/>
      <c r="B200" s="113"/>
      <c r="C200" s="114"/>
      <c r="D200" s="114"/>
      <c r="E200" s="114"/>
      <c r="F200" s="114"/>
      <c r="G200" s="113"/>
      <c r="H200" s="114"/>
      <c r="I200" s="114"/>
      <c r="J200" s="114"/>
      <c r="K200" s="114"/>
      <c r="L200" s="114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2"/>
      <c r="Z200" s="5"/>
      <c r="AA200" s="5"/>
      <c r="AB200" s="5"/>
      <c r="AC200" s="5"/>
      <c r="AD200" s="5"/>
      <c r="AE200" s="5"/>
      <c r="AF200" s="5"/>
      <c r="AG200" s="5"/>
      <c r="AH200" s="5"/>
      <c r="AI200" s="112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</row>
    <row r="201" ht="18.0" customHeight="1">
      <c r="A201" s="109"/>
      <c r="B201" s="113"/>
      <c r="C201" s="114"/>
      <c r="D201" s="114"/>
      <c r="E201" s="114"/>
      <c r="F201" s="114"/>
      <c r="G201" s="113"/>
      <c r="H201" s="114"/>
      <c r="I201" s="114"/>
      <c r="J201" s="114"/>
      <c r="K201" s="114"/>
      <c r="L201" s="114"/>
      <c r="M201" s="110"/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2"/>
      <c r="Z201" s="5"/>
      <c r="AA201" s="5"/>
      <c r="AB201" s="5"/>
      <c r="AC201" s="5"/>
      <c r="AD201" s="5"/>
      <c r="AE201" s="5"/>
      <c r="AF201" s="5"/>
      <c r="AG201" s="5"/>
      <c r="AH201" s="5"/>
      <c r="AI201" s="112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</row>
    <row r="202" ht="18.0" customHeight="1">
      <c r="A202" s="109"/>
      <c r="B202" s="113"/>
      <c r="C202" s="114"/>
      <c r="D202" s="114"/>
      <c r="E202" s="114"/>
      <c r="F202" s="114"/>
      <c r="G202" s="113"/>
      <c r="H202" s="114"/>
      <c r="I202" s="114"/>
      <c r="J202" s="114"/>
      <c r="K202" s="114"/>
      <c r="L202" s="114"/>
      <c r="M202" s="110"/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2"/>
      <c r="Z202" s="5"/>
      <c r="AA202" s="5"/>
      <c r="AB202" s="5"/>
      <c r="AC202" s="5"/>
      <c r="AD202" s="5"/>
      <c r="AE202" s="5"/>
      <c r="AF202" s="5"/>
      <c r="AG202" s="5"/>
      <c r="AH202" s="5"/>
      <c r="AI202" s="112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</row>
    <row r="203" ht="18.0" customHeight="1">
      <c r="A203" s="109"/>
      <c r="B203" s="113"/>
      <c r="C203" s="114"/>
      <c r="D203" s="114"/>
      <c r="E203" s="114"/>
      <c r="F203" s="114"/>
      <c r="G203" s="113"/>
      <c r="H203" s="114"/>
      <c r="I203" s="114"/>
      <c r="J203" s="114"/>
      <c r="K203" s="114"/>
      <c r="L203" s="114"/>
      <c r="M203" s="110"/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2"/>
      <c r="Z203" s="5"/>
      <c r="AA203" s="5"/>
      <c r="AB203" s="5"/>
      <c r="AC203" s="5"/>
      <c r="AD203" s="5"/>
      <c r="AE203" s="5"/>
      <c r="AF203" s="5"/>
      <c r="AG203" s="5"/>
      <c r="AH203" s="5"/>
      <c r="AI203" s="112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</row>
    <row r="204" ht="18.0" customHeight="1">
      <c r="A204" s="109"/>
      <c r="B204" s="113"/>
      <c r="C204" s="114"/>
      <c r="D204" s="114"/>
      <c r="E204" s="114"/>
      <c r="F204" s="114"/>
      <c r="G204" s="113"/>
      <c r="H204" s="114"/>
      <c r="I204" s="114"/>
      <c r="J204" s="114"/>
      <c r="K204" s="114"/>
      <c r="L204" s="114"/>
      <c r="M204" s="110"/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2"/>
      <c r="Z204" s="5"/>
      <c r="AA204" s="5"/>
      <c r="AB204" s="5"/>
      <c r="AC204" s="5"/>
      <c r="AD204" s="5"/>
      <c r="AE204" s="5"/>
      <c r="AF204" s="5"/>
      <c r="AG204" s="5"/>
      <c r="AH204" s="5"/>
      <c r="AI204" s="112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</row>
    <row r="205" ht="18.0" customHeight="1">
      <c r="A205" s="109"/>
      <c r="B205" s="113"/>
      <c r="C205" s="114"/>
      <c r="D205" s="114"/>
      <c r="E205" s="114"/>
      <c r="F205" s="114"/>
      <c r="G205" s="113"/>
      <c r="H205" s="114"/>
      <c r="I205" s="114"/>
      <c r="J205" s="114"/>
      <c r="K205" s="114"/>
      <c r="L205" s="114"/>
      <c r="M205" s="110"/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2"/>
      <c r="Z205" s="5"/>
      <c r="AA205" s="5"/>
      <c r="AB205" s="5"/>
      <c r="AC205" s="5"/>
      <c r="AD205" s="5"/>
      <c r="AE205" s="5"/>
      <c r="AF205" s="5"/>
      <c r="AG205" s="5"/>
      <c r="AH205" s="5"/>
      <c r="AI205" s="112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</row>
    <row r="206" ht="18.0" customHeight="1">
      <c r="A206" s="109"/>
      <c r="B206" s="113"/>
      <c r="C206" s="114"/>
      <c r="D206" s="114"/>
      <c r="E206" s="114"/>
      <c r="F206" s="114"/>
      <c r="G206" s="113"/>
      <c r="H206" s="114"/>
      <c r="I206" s="114"/>
      <c r="J206" s="114"/>
      <c r="K206" s="114"/>
      <c r="L206" s="114"/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2"/>
      <c r="Z206" s="5"/>
      <c r="AA206" s="5"/>
      <c r="AB206" s="5"/>
      <c r="AC206" s="5"/>
      <c r="AD206" s="5"/>
      <c r="AE206" s="5"/>
      <c r="AF206" s="5"/>
      <c r="AG206" s="5"/>
      <c r="AH206" s="5"/>
      <c r="AI206" s="112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</row>
    <row r="207" ht="18.0" customHeight="1">
      <c r="A207" s="109"/>
      <c r="B207" s="113"/>
      <c r="C207" s="114"/>
      <c r="D207" s="114"/>
      <c r="E207" s="114"/>
      <c r="F207" s="114"/>
      <c r="G207" s="113"/>
      <c r="H207" s="114"/>
      <c r="I207" s="114"/>
      <c r="J207" s="114"/>
      <c r="K207" s="114"/>
      <c r="L207" s="114"/>
      <c r="M207" s="110"/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2"/>
      <c r="Z207" s="5"/>
      <c r="AA207" s="5"/>
      <c r="AB207" s="5"/>
      <c r="AC207" s="5"/>
      <c r="AD207" s="5"/>
      <c r="AE207" s="5"/>
      <c r="AF207" s="5"/>
      <c r="AG207" s="5"/>
      <c r="AH207" s="5"/>
      <c r="AI207" s="112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</row>
    <row r="208" ht="18.0" customHeight="1">
      <c r="A208" s="109"/>
      <c r="B208" s="113"/>
      <c r="C208" s="114"/>
      <c r="D208" s="114"/>
      <c r="E208" s="114"/>
      <c r="F208" s="114"/>
      <c r="G208" s="113"/>
      <c r="H208" s="114"/>
      <c r="I208" s="114"/>
      <c r="J208" s="114"/>
      <c r="K208" s="114"/>
      <c r="L208" s="114"/>
      <c r="M208" s="110"/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2"/>
      <c r="Z208" s="5"/>
      <c r="AA208" s="5"/>
      <c r="AB208" s="5"/>
      <c r="AC208" s="5"/>
      <c r="AD208" s="5"/>
      <c r="AE208" s="5"/>
      <c r="AF208" s="5"/>
      <c r="AG208" s="5"/>
      <c r="AH208" s="5"/>
      <c r="AI208" s="112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</row>
    <row r="209" ht="18.0" customHeight="1">
      <c r="A209" s="109"/>
      <c r="B209" s="113"/>
      <c r="C209" s="114"/>
      <c r="D209" s="114"/>
      <c r="E209" s="114"/>
      <c r="F209" s="114"/>
      <c r="G209" s="113"/>
      <c r="H209" s="114"/>
      <c r="I209" s="114"/>
      <c r="J209" s="114"/>
      <c r="K209" s="114"/>
      <c r="L209" s="114"/>
      <c r="M209" s="110"/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2"/>
      <c r="Z209" s="5"/>
      <c r="AA209" s="5"/>
      <c r="AB209" s="5"/>
      <c r="AC209" s="5"/>
      <c r="AD209" s="5"/>
      <c r="AE209" s="5"/>
      <c r="AF209" s="5"/>
      <c r="AG209" s="5"/>
      <c r="AH209" s="5"/>
      <c r="AI209" s="112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</row>
    <row r="210" ht="18.0" customHeight="1">
      <c r="A210" s="109"/>
      <c r="B210" s="113"/>
      <c r="C210" s="114"/>
      <c r="D210" s="114"/>
      <c r="E210" s="114"/>
      <c r="F210" s="114"/>
      <c r="G210" s="113"/>
      <c r="H210" s="114"/>
      <c r="I210" s="114"/>
      <c r="J210" s="114"/>
      <c r="K210" s="114"/>
      <c r="L210" s="114"/>
      <c r="M210" s="110"/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2"/>
      <c r="Z210" s="5"/>
      <c r="AA210" s="5"/>
      <c r="AB210" s="5"/>
      <c r="AC210" s="5"/>
      <c r="AD210" s="5"/>
      <c r="AE210" s="5"/>
      <c r="AF210" s="5"/>
      <c r="AG210" s="5"/>
      <c r="AH210" s="5"/>
      <c r="AI210" s="112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</row>
    <row r="211" ht="18.0" customHeight="1">
      <c r="A211" s="109"/>
      <c r="B211" s="113"/>
      <c r="C211" s="114"/>
      <c r="D211" s="114"/>
      <c r="E211" s="114"/>
      <c r="F211" s="114"/>
      <c r="G211" s="113"/>
      <c r="H211" s="114"/>
      <c r="I211" s="114"/>
      <c r="J211" s="114"/>
      <c r="K211" s="114"/>
      <c r="L211" s="114"/>
      <c r="M211" s="110"/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2"/>
      <c r="Z211" s="5"/>
      <c r="AA211" s="5"/>
      <c r="AB211" s="5"/>
      <c r="AC211" s="5"/>
      <c r="AD211" s="5"/>
      <c r="AE211" s="5"/>
      <c r="AF211" s="5"/>
      <c r="AG211" s="5"/>
      <c r="AH211" s="5"/>
      <c r="AI211" s="112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</row>
    <row r="212" ht="18.0" customHeight="1">
      <c r="A212" s="109"/>
      <c r="B212" s="113"/>
      <c r="C212" s="114"/>
      <c r="D212" s="114"/>
      <c r="E212" s="114"/>
      <c r="F212" s="114"/>
      <c r="G212" s="113"/>
      <c r="H212" s="114"/>
      <c r="I212" s="114"/>
      <c r="J212" s="114"/>
      <c r="K212" s="114"/>
      <c r="L212" s="114"/>
      <c r="M212" s="110"/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2"/>
      <c r="Z212" s="5"/>
      <c r="AA212" s="5"/>
      <c r="AB212" s="5"/>
      <c r="AC212" s="5"/>
      <c r="AD212" s="5"/>
      <c r="AE212" s="5"/>
      <c r="AF212" s="5"/>
      <c r="AG212" s="5"/>
      <c r="AH212" s="5"/>
      <c r="AI212" s="112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</row>
    <row r="213" ht="18.0" customHeight="1">
      <c r="A213" s="109"/>
      <c r="B213" s="113"/>
      <c r="C213" s="114"/>
      <c r="D213" s="114"/>
      <c r="E213" s="114"/>
      <c r="F213" s="114"/>
      <c r="G213" s="113"/>
      <c r="H213" s="114"/>
      <c r="I213" s="114"/>
      <c r="J213" s="114"/>
      <c r="K213" s="114"/>
      <c r="L213" s="114"/>
      <c r="M213" s="110"/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2"/>
      <c r="Z213" s="5"/>
      <c r="AA213" s="5"/>
      <c r="AB213" s="5"/>
      <c r="AC213" s="5"/>
      <c r="AD213" s="5"/>
      <c r="AE213" s="5"/>
      <c r="AF213" s="5"/>
      <c r="AG213" s="5"/>
      <c r="AH213" s="5"/>
      <c r="AI213" s="112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</row>
    <row r="214" ht="18.0" customHeight="1">
      <c r="A214" s="109"/>
      <c r="B214" s="113"/>
      <c r="C214" s="114"/>
      <c r="D214" s="114"/>
      <c r="E214" s="114"/>
      <c r="F214" s="114"/>
      <c r="G214" s="113"/>
      <c r="H214" s="114"/>
      <c r="I214" s="114"/>
      <c r="J214" s="114"/>
      <c r="K214" s="114"/>
      <c r="L214" s="114"/>
      <c r="M214" s="110"/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2"/>
      <c r="Z214" s="5"/>
      <c r="AA214" s="5"/>
      <c r="AB214" s="5"/>
      <c r="AC214" s="5"/>
      <c r="AD214" s="5"/>
      <c r="AE214" s="5"/>
      <c r="AF214" s="5"/>
      <c r="AG214" s="5"/>
      <c r="AH214" s="5"/>
      <c r="AI214" s="112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</row>
    <row r="215" ht="18.0" customHeight="1">
      <c r="A215" s="109"/>
      <c r="B215" s="113"/>
      <c r="C215" s="114"/>
      <c r="D215" s="114"/>
      <c r="E215" s="114"/>
      <c r="F215" s="114"/>
      <c r="G215" s="113"/>
      <c r="H215" s="114"/>
      <c r="I215" s="114"/>
      <c r="J215" s="114"/>
      <c r="K215" s="114"/>
      <c r="L215" s="114"/>
      <c r="M215" s="110"/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2"/>
      <c r="Z215" s="5"/>
      <c r="AA215" s="5"/>
      <c r="AB215" s="5"/>
      <c r="AC215" s="5"/>
      <c r="AD215" s="5"/>
      <c r="AE215" s="5"/>
      <c r="AF215" s="5"/>
      <c r="AG215" s="5"/>
      <c r="AH215" s="5"/>
      <c r="AI215" s="112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</row>
    <row r="216" ht="18.0" customHeight="1">
      <c r="A216" s="109"/>
      <c r="B216" s="113"/>
      <c r="C216" s="114"/>
      <c r="D216" s="114"/>
      <c r="E216" s="114"/>
      <c r="F216" s="114"/>
      <c r="G216" s="113"/>
      <c r="H216" s="114"/>
      <c r="I216" s="114"/>
      <c r="J216" s="114"/>
      <c r="K216" s="114"/>
      <c r="L216" s="114"/>
      <c r="M216" s="110"/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2"/>
      <c r="Z216" s="5"/>
      <c r="AA216" s="5"/>
      <c r="AB216" s="5"/>
      <c r="AC216" s="5"/>
      <c r="AD216" s="5"/>
      <c r="AE216" s="5"/>
      <c r="AF216" s="5"/>
      <c r="AG216" s="5"/>
      <c r="AH216" s="5"/>
      <c r="AI216" s="112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</row>
    <row r="217" ht="18.0" customHeight="1">
      <c r="A217" s="109"/>
      <c r="B217" s="113"/>
      <c r="C217" s="114"/>
      <c r="D217" s="114"/>
      <c r="E217" s="114"/>
      <c r="F217" s="114"/>
      <c r="G217" s="113"/>
      <c r="H217" s="114"/>
      <c r="I217" s="114"/>
      <c r="J217" s="114"/>
      <c r="K217" s="114"/>
      <c r="L217" s="114"/>
      <c r="M217" s="110"/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2"/>
      <c r="Z217" s="5"/>
      <c r="AA217" s="5"/>
      <c r="AB217" s="5"/>
      <c r="AC217" s="5"/>
      <c r="AD217" s="5"/>
      <c r="AE217" s="5"/>
      <c r="AF217" s="5"/>
      <c r="AG217" s="5"/>
      <c r="AH217" s="5"/>
      <c r="AI217" s="112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</row>
    <row r="218" ht="18.0" customHeight="1">
      <c r="A218" s="109"/>
      <c r="B218" s="113"/>
      <c r="C218" s="114"/>
      <c r="D218" s="114"/>
      <c r="E218" s="114"/>
      <c r="F218" s="114"/>
      <c r="G218" s="113"/>
      <c r="H218" s="114"/>
      <c r="I218" s="114"/>
      <c r="J218" s="114"/>
      <c r="K218" s="114"/>
      <c r="L218" s="114"/>
      <c r="M218" s="110"/>
      <c r="N218" s="110"/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2"/>
      <c r="Z218" s="5"/>
      <c r="AA218" s="5"/>
      <c r="AB218" s="5"/>
      <c r="AC218" s="5"/>
      <c r="AD218" s="5"/>
      <c r="AE218" s="5"/>
      <c r="AF218" s="5"/>
      <c r="AG218" s="5"/>
      <c r="AH218" s="5"/>
      <c r="AI218" s="112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</row>
    <row r="219" ht="18.0" customHeight="1">
      <c r="A219" s="109"/>
      <c r="B219" s="113"/>
      <c r="C219" s="114"/>
      <c r="D219" s="114"/>
      <c r="E219" s="114"/>
      <c r="F219" s="114"/>
      <c r="G219" s="113"/>
      <c r="H219" s="114"/>
      <c r="I219" s="114"/>
      <c r="J219" s="114"/>
      <c r="K219" s="114"/>
      <c r="L219" s="114"/>
      <c r="M219" s="110"/>
      <c r="N219" s="110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2"/>
      <c r="Z219" s="5"/>
      <c r="AA219" s="5"/>
      <c r="AB219" s="5"/>
      <c r="AC219" s="5"/>
      <c r="AD219" s="5"/>
      <c r="AE219" s="5"/>
      <c r="AF219" s="5"/>
      <c r="AG219" s="5"/>
      <c r="AH219" s="5"/>
      <c r="AI219" s="112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</row>
    <row r="220" ht="18.0" customHeight="1">
      <c r="A220" s="109"/>
      <c r="B220" s="113"/>
      <c r="C220" s="114"/>
      <c r="D220" s="114"/>
      <c r="E220" s="114"/>
      <c r="F220" s="114"/>
      <c r="G220" s="113"/>
      <c r="H220" s="114"/>
      <c r="I220" s="114"/>
      <c r="J220" s="114"/>
      <c r="K220" s="114"/>
      <c r="L220" s="114"/>
      <c r="M220" s="110"/>
      <c r="N220" s="110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2"/>
      <c r="Z220" s="5"/>
      <c r="AA220" s="5"/>
      <c r="AB220" s="5"/>
      <c r="AC220" s="5"/>
      <c r="AD220" s="5"/>
      <c r="AE220" s="5"/>
      <c r="AF220" s="5"/>
      <c r="AG220" s="5"/>
      <c r="AH220" s="5"/>
      <c r="AI220" s="112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</row>
    <row r="221" ht="18.0" customHeight="1">
      <c r="A221" s="109"/>
      <c r="B221" s="113"/>
      <c r="C221" s="114"/>
      <c r="D221" s="114"/>
      <c r="E221" s="114"/>
      <c r="F221" s="114"/>
      <c r="G221" s="113"/>
      <c r="H221" s="114"/>
      <c r="I221" s="114"/>
      <c r="J221" s="114"/>
      <c r="K221" s="114"/>
      <c r="L221" s="114"/>
      <c r="M221" s="110"/>
      <c r="N221" s="110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2"/>
      <c r="Z221" s="5"/>
      <c r="AA221" s="5"/>
      <c r="AB221" s="5"/>
      <c r="AC221" s="5"/>
      <c r="AD221" s="5"/>
      <c r="AE221" s="5"/>
      <c r="AF221" s="5"/>
      <c r="AG221" s="5"/>
      <c r="AH221" s="5"/>
      <c r="AI221" s="112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</row>
    <row r="222" ht="18.0" customHeight="1">
      <c r="A222" s="109"/>
      <c r="B222" s="113"/>
      <c r="C222" s="114"/>
      <c r="D222" s="114"/>
      <c r="E222" s="114"/>
      <c r="F222" s="114"/>
      <c r="G222" s="113"/>
      <c r="H222" s="114"/>
      <c r="I222" s="114"/>
      <c r="J222" s="114"/>
      <c r="K222" s="114"/>
      <c r="L222" s="114"/>
      <c r="M222" s="110"/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2"/>
      <c r="Z222" s="5"/>
      <c r="AA222" s="5"/>
      <c r="AB222" s="5"/>
      <c r="AC222" s="5"/>
      <c r="AD222" s="5"/>
      <c r="AE222" s="5"/>
      <c r="AF222" s="5"/>
      <c r="AG222" s="5"/>
      <c r="AH222" s="5"/>
      <c r="AI222" s="112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</row>
    <row r="223" ht="18.0" customHeight="1">
      <c r="A223" s="109"/>
      <c r="B223" s="113"/>
      <c r="C223" s="114"/>
      <c r="D223" s="114"/>
      <c r="E223" s="114"/>
      <c r="F223" s="114"/>
      <c r="G223" s="113"/>
      <c r="H223" s="114"/>
      <c r="I223" s="114"/>
      <c r="J223" s="114"/>
      <c r="K223" s="114"/>
      <c r="L223" s="114"/>
      <c r="M223" s="110"/>
      <c r="N223" s="110"/>
      <c r="O223" s="110"/>
      <c r="P223" s="110"/>
      <c r="Q223" s="110"/>
      <c r="R223" s="110"/>
      <c r="S223" s="110"/>
      <c r="T223" s="110"/>
      <c r="U223" s="110"/>
      <c r="V223" s="110"/>
      <c r="W223" s="110"/>
      <c r="X223" s="110"/>
      <c r="Y223" s="112"/>
      <c r="Z223" s="5"/>
      <c r="AA223" s="5"/>
      <c r="AB223" s="5"/>
      <c r="AC223" s="5"/>
      <c r="AD223" s="5"/>
      <c r="AE223" s="5"/>
      <c r="AF223" s="5"/>
      <c r="AG223" s="5"/>
      <c r="AH223" s="5"/>
      <c r="AI223" s="112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</row>
    <row r="224" ht="18.0" customHeight="1">
      <c r="A224" s="109"/>
      <c r="B224" s="113"/>
      <c r="C224" s="114"/>
      <c r="D224" s="114"/>
      <c r="E224" s="114"/>
      <c r="F224" s="114"/>
      <c r="G224" s="113"/>
      <c r="H224" s="114"/>
      <c r="I224" s="114"/>
      <c r="J224" s="114"/>
      <c r="K224" s="114"/>
      <c r="L224" s="114"/>
      <c r="M224" s="110"/>
      <c r="N224" s="110"/>
      <c r="O224" s="110"/>
      <c r="P224" s="110"/>
      <c r="Q224" s="110"/>
      <c r="R224" s="110"/>
      <c r="S224" s="110"/>
      <c r="T224" s="110"/>
      <c r="U224" s="110"/>
      <c r="V224" s="110"/>
      <c r="W224" s="110"/>
      <c r="X224" s="110"/>
      <c r="Y224" s="112"/>
      <c r="Z224" s="5"/>
      <c r="AA224" s="5"/>
      <c r="AB224" s="5"/>
      <c r="AC224" s="5"/>
      <c r="AD224" s="5"/>
      <c r="AE224" s="5"/>
      <c r="AF224" s="5"/>
      <c r="AG224" s="5"/>
      <c r="AH224" s="5"/>
      <c r="AI224" s="112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</row>
    <row r="225" ht="18.0" customHeight="1">
      <c r="A225" s="109"/>
      <c r="B225" s="113"/>
      <c r="C225" s="114"/>
      <c r="D225" s="114"/>
      <c r="E225" s="114"/>
      <c r="F225" s="114"/>
      <c r="G225" s="113"/>
      <c r="H225" s="114"/>
      <c r="I225" s="114"/>
      <c r="J225" s="114"/>
      <c r="K225" s="114"/>
      <c r="L225" s="114"/>
      <c r="M225" s="110"/>
      <c r="N225" s="110"/>
      <c r="O225" s="110"/>
      <c r="P225" s="110"/>
      <c r="Q225" s="110"/>
      <c r="R225" s="110"/>
      <c r="S225" s="110"/>
      <c r="T225" s="110"/>
      <c r="U225" s="110"/>
      <c r="V225" s="110"/>
      <c r="W225" s="110"/>
      <c r="X225" s="110"/>
      <c r="Y225" s="112"/>
      <c r="Z225" s="5"/>
      <c r="AA225" s="5"/>
      <c r="AB225" s="5"/>
      <c r="AC225" s="5"/>
      <c r="AD225" s="5"/>
      <c r="AE225" s="5"/>
      <c r="AF225" s="5"/>
      <c r="AG225" s="5"/>
      <c r="AH225" s="5"/>
      <c r="AI225" s="112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</row>
    <row r="226" ht="18.0" customHeight="1">
      <c r="A226" s="109"/>
      <c r="B226" s="113"/>
      <c r="C226" s="114"/>
      <c r="D226" s="114"/>
      <c r="E226" s="114"/>
      <c r="F226" s="114"/>
      <c r="G226" s="113"/>
      <c r="H226" s="114"/>
      <c r="I226" s="114"/>
      <c r="J226" s="114"/>
      <c r="K226" s="114"/>
      <c r="L226" s="114"/>
      <c r="M226" s="110"/>
      <c r="N226" s="110"/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2"/>
      <c r="Z226" s="5"/>
      <c r="AA226" s="5"/>
      <c r="AB226" s="5"/>
      <c r="AC226" s="5"/>
      <c r="AD226" s="5"/>
      <c r="AE226" s="5"/>
      <c r="AF226" s="5"/>
      <c r="AG226" s="5"/>
      <c r="AH226" s="5"/>
      <c r="AI226" s="112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</row>
    <row r="227" ht="18.0" customHeight="1">
      <c r="A227" s="109"/>
      <c r="B227" s="113"/>
      <c r="C227" s="114"/>
      <c r="D227" s="114"/>
      <c r="E227" s="114"/>
      <c r="F227" s="114"/>
      <c r="G227" s="113"/>
      <c r="H227" s="114"/>
      <c r="I227" s="114"/>
      <c r="J227" s="114"/>
      <c r="K227" s="114"/>
      <c r="L227" s="114"/>
      <c r="M227" s="110"/>
      <c r="N227" s="110"/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2"/>
      <c r="Z227" s="5"/>
      <c r="AA227" s="5"/>
      <c r="AB227" s="5"/>
      <c r="AC227" s="5"/>
      <c r="AD227" s="5"/>
      <c r="AE227" s="5"/>
      <c r="AF227" s="5"/>
      <c r="AG227" s="5"/>
      <c r="AH227" s="5"/>
      <c r="AI227" s="112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</row>
    <row r="228" ht="18.0" customHeight="1">
      <c r="A228" s="109"/>
      <c r="B228" s="113"/>
      <c r="C228" s="114"/>
      <c r="D228" s="114"/>
      <c r="E228" s="114"/>
      <c r="F228" s="114"/>
      <c r="G228" s="113"/>
      <c r="H228" s="114"/>
      <c r="I228" s="114"/>
      <c r="J228" s="114"/>
      <c r="K228" s="114"/>
      <c r="L228" s="114"/>
      <c r="M228" s="110"/>
      <c r="N228" s="110"/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2"/>
      <c r="Z228" s="5"/>
      <c r="AA228" s="5"/>
      <c r="AB228" s="5"/>
      <c r="AC228" s="5"/>
      <c r="AD228" s="5"/>
      <c r="AE228" s="5"/>
      <c r="AF228" s="5"/>
      <c r="AG228" s="5"/>
      <c r="AH228" s="5"/>
      <c r="AI228" s="112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</row>
    <row r="229" ht="18.0" customHeight="1">
      <c r="A229" s="109"/>
      <c r="B229" s="113"/>
      <c r="C229" s="114"/>
      <c r="D229" s="114"/>
      <c r="E229" s="114"/>
      <c r="F229" s="114"/>
      <c r="G229" s="113"/>
      <c r="H229" s="114"/>
      <c r="I229" s="114"/>
      <c r="J229" s="114"/>
      <c r="K229" s="114"/>
      <c r="L229" s="114"/>
      <c r="M229" s="110"/>
      <c r="N229" s="110"/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2"/>
      <c r="Z229" s="5"/>
      <c r="AA229" s="5"/>
      <c r="AB229" s="5"/>
      <c r="AC229" s="5"/>
      <c r="AD229" s="5"/>
      <c r="AE229" s="5"/>
      <c r="AF229" s="5"/>
      <c r="AG229" s="5"/>
      <c r="AH229" s="5"/>
      <c r="AI229" s="112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</row>
    <row r="230" ht="18.0" customHeight="1">
      <c r="A230" s="109"/>
      <c r="B230" s="113"/>
      <c r="C230" s="114"/>
      <c r="D230" s="114"/>
      <c r="E230" s="114"/>
      <c r="F230" s="114"/>
      <c r="G230" s="113"/>
      <c r="H230" s="114"/>
      <c r="I230" s="114"/>
      <c r="J230" s="114"/>
      <c r="K230" s="114"/>
      <c r="L230" s="114"/>
      <c r="M230" s="110"/>
      <c r="N230" s="110"/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2"/>
      <c r="Z230" s="5"/>
      <c r="AA230" s="5"/>
      <c r="AB230" s="5"/>
      <c r="AC230" s="5"/>
      <c r="AD230" s="5"/>
      <c r="AE230" s="5"/>
      <c r="AF230" s="5"/>
      <c r="AG230" s="5"/>
      <c r="AH230" s="5"/>
      <c r="AI230" s="112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</row>
    <row r="231" ht="18.0" customHeight="1">
      <c r="A231" s="109"/>
      <c r="B231" s="113"/>
      <c r="C231" s="114"/>
      <c r="D231" s="114"/>
      <c r="E231" s="114"/>
      <c r="F231" s="114"/>
      <c r="G231" s="113"/>
      <c r="H231" s="114"/>
      <c r="I231" s="114"/>
      <c r="J231" s="114"/>
      <c r="K231" s="114"/>
      <c r="L231" s="114"/>
      <c r="M231" s="110"/>
      <c r="N231" s="110"/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2"/>
      <c r="Z231" s="5"/>
      <c r="AA231" s="5"/>
      <c r="AB231" s="5"/>
      <c r="AC231" s="5"/>
      <c r="AD231" s="5"/>
      <c r="AE231" s="5"/>
      <c r="AF231" s="5"/>
      <c r="AG231" s="5"/>
      <c r="AH231" s="5"/>
      <c r="AI231" s="112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</row>
    <row r="232" ht="18.0" customHeight="1">
      <c r="A232" s="109"/>
      <c r="B232" s="113"/>
      <c r="C232" s="114"/>
      <c r="D232" s="114"/>
      <c r="E232" s="114"/>
      <c r="F232" s="114"/>
      <c r="G232" s="113"/>
      <c r="H232" s="114"/>
      <c r="I232" s="114"/>
      <c r="J232" s="114"/>
      <c r="K232" s="114"/>
      <c r="L232" s="114"/>
      <c r="M232" s="110"/>
      <c r="N232" s="110"/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2"/>
      <c r="Z232" s="5"/>
      <c r="AA232" s="5"/>
      <c r="AB232" s="5"/>
      <c r="AC232" s="5"/>
      <c r="AD232" s="5"/>
      <c r="AE232" s="5"/>
      <c r="AF232" s="5"/>
      <c r="AG232" s="5"/>
      <c r="AH232" s="5"/>
      <c r="AI232" s="112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</row>
    <row r="233" ht="18.0" customHeight="1">
      <c r="A233" s="109"/>
      <c r="B233" s="113"/>
      <c r="C233" s="114"/>
      <c r="D233" s="114"/>
      <c r="E233" s="114"/>
      <c r="F233" s="114"/>
      <c r="G233" s="113"/>
      <c r="H233" s="114"/>
      <c r="I233" s="114"/>
      <c r="J233" s="114"/>
      <c r="K233" s="114"/>
      <c r="L233" s="114"/>
      <c r="M233" s="110"/>
      <c r="N233" s="110"/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2"/>
      <c r="Z233" s="5"/>
      <c r="AA233" s="5"/>
      <c r="AB233" s="5"/>
      <c r="AC233" s="5"/>
      <c r="AD233" s="5"/>
      <c r="AE233" s="5"/>
      <c r="AF233" s="5"/>
      <c r="AG233" s="5"/>
      <c r="AH233" s="5"/>
      <c r="AI233" s="112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</row>
    <row r="234" ht="18.0" customHeight="1">
      <c r="A234" s="109"/>
      <c r="B234" s="113"/>
      <c r="C234" s="114"/>
      <c r="D234" s="114"/>
      <c r="E234" s="114"/>
      <c r="F234" s="114"/>
      <c r="G234" s="113"/>
      <c r="H234" s="114"/>
      <c r="I234" s="114"/>
      <c r="J234" s="114"/>
      <c r="K234" s="114"/>
      <c r="L234" s="114"/>
      <c r="M234" s="110"/>
      <c r="N234" s="110"/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2"/>
      <c r="Z234" s="5"/>
      <c r="AA234" s="5"/>
      <c r="AB234" s="5"/>
      <c r="AC234" s="5"/>
      <c r="AD234" s="5"/>
      <c r="AE234" s="5"/>
      <c r="AF234" s="5"/>
      <c r="AG234" s="5"/>
      <c r="AH234" s="5"/>
      <c r="AI234" s="112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</row>
    <row r="235" ht="18.0" customHeight="1">
      <c r="A235" s="109"/>
      <c r="B235" s="113"/>
      <c r="C235" s="114"/>
      <c r="D235" s="114"/>
      <c r="E235" s="114"/>
      <c r="F235" s="114"/>
      <c r="G235" s="113"/>
      <c r="H235" s="114"/>
      <c r="I235" s="114"/>
      <c r="J235" s="114"/>
      <c r="K235" s="114"/>
      <c r="L235" s="114"/>
      <c r="M235" s="110"/>
      <c r="N235" s="110"/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2"/>
      <c r="Z235" s="5"/>
      <c r="AA235" s="5"/>
      <c r="AB235" s="5"/>
      <c r="AC235" s="5"/>
      <c r="AD235" s="5"/>
      <c r="AE235" s="5"/>
      <c r="AF235" s="5"/>
      <c r="AG235" s="5"/>
      <c r="AH235" s="5"/>
      <c r="AI235" s="112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</row>
    <row r="236" ht="18.0" customHeight="1">
      <c r="A236" s="109"/>
      <c r="B236" s="113"/>
      <c r="C236" s="114"/>
      <c r="D236" s="114"/>
      <c r="E236" s="114"/>
      <c r="F236" s="114"/>
      <c r="G236" s="113"/>
      <c r="H236" s="114"/>
      <c r="I236" s="114"/>
      <c r="J236" s="114"/>
      <c r="K236" s="114"/>
      <c r="L236" s="114"/>
      <c r="M236" s="110"/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2"/>
      <c r="Z236" s="5"/>
      <c r="AA236" s="5"/>
      <c r="AB236" s="5"/>
      <c r="AC236" s="5"/>
      <c r="AD236" s="5"/>
      <c r="AE236" s="5"/>
      <c r="AF236" s="5"/>
      <c r="AG236" s="5"/>
      <c r="AH236" s="5"/>
      <c r="AI236" s="112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</row>
    <row r="237" ht="18.0" customHeight="1">
      <c r="A237" s="109"/>
      <c r="B237" s="113"/>
      <c r="C237" s="114"/>
      <c r="D237" s="114"/>
      <c r="E237" s="114"/>
      <c r="F237" s="114"/>
      <c r="G237" s="113"/>
      <c r="H237" s="114"/>
      <c r="I237" s="114"/>
      <c r="J237" s="114"/>
      <c r="K237" s="114"/>
      <c r="L237" s="114"/>
      <c r="M237" s="110"/>
      <c r="N237" s="110"/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2"/>
      <c r="Z237" s="5"/>
      <c r="AA237" s="5"/>
      <c r="AB237" s="5"/>
      <c r="AC237" s="5"/>
      <c r="AD237" s="5"/>
      <c r="AE237" s="5"/>
      <c r="AF237" s="5"/>
      <c r="AG237" s="5"/>
      <c r="AH237" s="5"/>
      <c r="AI237" s="112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</row>
    <row r="238" ht="18.0" customHeight="1">
      <c r="A238" s="109"/>
      <c r="B238" s="113"/>
      <c r="C238" s="114"/>
      <c r="D238" s="114"/>
      <c r="E238" s="114"/>
      <c r="F238" s="114"/>
      <c r="G238" s="113"/>
      <c r="H238" s="114"/>
      <c r="I238" s="114"/>
      <c r="J238" s="114"/>
      <c r="K238" s="114"/>
      <c r="L238" s="114"/>
      <c r="M238" s="110"/>
      <c r="N238" s="110"/>
      <c r="O238" s="110"/>
      <c r="P238" s="110"/>
      <c r="Q238" s="110"/>
      <c r="R238" s="110"/>
      <c r="S238" s="110"/>
      <c r="T238" s="110"/>
      <c r="U238" s="110"/>
      <c r="V238" s="110"/>
      <c r="W238" s="110"/>
      <c r="X238" s="110"/>
      <c r="Y238" s="112"/>
      <c r="Z238" s="5"/>
      <c r="AA238" s="5"/>
      <c r="AB238" s="5"/>
      <c r="AC238" s="5"/>
      <c r="AD238" s="5"/>
      <c r="AE238" s="5"/>
      <c r="AF238" s="5"/>
      <c r="AG238" s="5"/>
      <c r="AH238" s="5"/>
      <c r="AI238" s="112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</row>
    <row r="239" ht="18.0" customHeight="1">
      <c r="A239" s="109"/>
      <c r="B239" s="113"/>
      <c r="C239" s="114"/>
      <c r="D239" s="114"/>
      <c r="E239" s="114"/>
      <c r="F239" s="114"/>
      <c r="G239" s="113"/>
      <c r="H239" s="114"/>
      <c r="I239" s="114"/>
      <c r="J239" s="114"/>
      <c r="K239" s="114"/>
      <c r="L239" s="114"/>
      <c r="M239" s="110"/>
      <c r="N239" s="110"/>
      <c r="O239" s="110"/>
      <c r="P239" s="110"/>
      <c r="Q239" s="110"/>
      <c r="R239" s="110"/>
      <c r="S239" s="110"/>
      <c r="T239" s="110"/>
      <c r="U239" s="110"/>
      <c r="V239" s="110"/>
      <c r="W239" s="110"/>
      <c r="X239" s="110"/>
      <c r="Y239" s="112"/>
      <c r="Z239" s="5"/>
      <c r="AA239" s="5"/>
      <c r="AB239" s="5"/>
      <c r="AC239" s="5"/>
      <c r="AD239" s="5"/>
      <c r="AE239" s="5"/>
      <c r="AF239" s="5"/>
      <c r="AG239" s="5"/>
      <c r="AH239" s="5"/>
      <c r="AI239" s="112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</row>
    <row r="240" ht="18.0" customHeight="1">
      <c r="A240" s="109"/>
      <c r="B240" s="113"/>
      <c r="C240" s="114"/>
      <c r="D240" s="114"/>
      <c r="E240" s="114"/>
      <c r="F240" s="114"/>
      <c r="G240" s="113"/>
      <c r="H240" s="114"/>
      <c r="I240" s="114"/>
      <c r="J240" s="114"/>
      <c r="K240" s="114"/>
      <c r="L240" s="114"/>
      <c r="M240" s="110"/>
      <c r="N240" s="110"/>
      <c r="O240" s="110"/>
      <c r="P240" s="110"/>
      <c r="Q240" s="110"/>
      <c r="R240" s="110"/>
      <c r="S240" s="110"/>
      <c r="T240" s="110"/>
      <c r="U240" s="110"/>
      <c r="V240" s="110"/>
      <c r="W240" s="110"/>
      <c r="X240" s="110"/>
      <c r="Y240" s="112"/>
      <c r="Z240" s="5"/>
      <c r="AA240" s="5"/>
      <c r="AB240" s="5"/>
      <c r="AC240" s="5"/>
      <c r="AD240" s="5"/>
      <c r="AE240" s="5"/>
      <c r="AF240" s="5"/>
      <c r="AG240" s="5"/>
      <c r="AH240" s="5"/>
      <c r="AI240" s="112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</row>
    <row r="241" ht="18.0" customHeight="1">
      <c r="A241" s="109"/>
      <c r="B241" s="113"/>
      <c r="C241" s="114"/>
      <c r="D241" s="114"/>
      <c r="E241" s="114"/>
      <c r="F241" s="114"/>
      <c r="G241" s="113"/>
      <c r="H241" s="114"/>
      <c r="I241" s="114"/>
      <c r="J241" s="114"/>
      <c r="K241" s="114"/>
      <c r="L241" s="114"/>
      <c r="M241" s="110"/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2"/>
      <c r="Z241" s="5"/>
      <c r="AA241" s="5"/>
      <c r="AB241" s="5"/>
      <c r="AC241" s="5"/>
      <c r="AD241" s="5"/>
      <c r="AE241" s="5"/>
      <c r="AF241" s="5"/>
      <c r="AG241" s="5"/>
      <c r="AH241" s="5"/>
      <c r="AI241" s="112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</row>
    <row r="242" ht="18.0" customHeight="1">
      <c r="A242" s="109"/>
      <c r="B242" s="113"/>
      <c r="C242" s="114"/>
      <c r="D242" s="114"/>
      <c r="E242" s="114"/>
      <c r="F242" s="114"/>
      <c r="G242" s="113"/>
      <c r="H242" s="114"/>
      <c r="I242" s="114"/>
      <c r="J242" s="114"/>
      <c r="K242" s="114"/>
      <c r="L242" s="114"/>
      <c r="M242" s="110"/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2"/>
      <c r="Z242" s="5"/>
      <c r="AA242" s="5"/>
      <c r="AB242" s="5"/>
      <c r="AC242" s="5"/>
      <c r="AD242" s="5"/>
      <c r="AE242" s="5"/>
      <c r="AF242" s="5"/>
      <c r="AG242" s="5"/>
      <c r="AH242" s="5"/>
      <c r="AI242" s="112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</row>
    <row r="243" ht="18.0" customHeight="1">
      <c r="A243" s="109"/>
      <c r="B243" s="113"/>
      <c r="C243" s="114"/>
      <c r="D243" s="114"/>
      <c r="E243" s="114"/>
      <c r="F243" s="114"/>
      <c r="G243" s="113"/>
      <c r="H243" s="114"/>
      <c r="I243" s="114"/>
      <c r="J243" s="114"/>
      <c r="K243" s="114"/>
      <c r="L243" s="114"/>
      <c r="M243" s="110"/>
      <c r="N243" s="110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2"/>
      <c r="Z243" s="5"/>
      <c r="AA243" s="5"/>
      <c r="AB243" s="5"/>
      <c r="AC243" s="5"/>
      <c r="AD243" s="5"/>
      <c r="AE243" s="5"/>
      <c r="AF243" s="5"/>
      <c r="AG243" s="5"/>
      <c r="AH243" s="5"/>
      <c r="AI243" s="112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</row>
    <row r="244" ht="18.0" customHeight="1">
      <c r="A244" s="109"/>
      <c r="B244" s="113"/>
      <c r="C244" s="114"/>
      <c r="D244" s="114"/>
      <c r="E244" s="114"/>
      <c r="F244" s="114"/>
      <c r="G244" s="113"/>
      <c r="H244" s="114"/>
      <c r="I244" s="114"/>
      <c r="J244" s="114"/>
      <c r="K244" s="114"/>
      <c r="L244" s="114"/>
      <c r="M244" s="110"/>
      <c r="N244" s="110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2"/>
      <c r="Z244" s="5"/>
      <c r="AA244" s="5"/>
      <c r="AB244" s="5"/>
      <c r="AC244" s="5"/>
      <c r="AD244" s="5"/>
      <c r="AE244" s="5"/>
      <c r="AF244" s="5"/>
      <c r="AG244" s="5"/>
      <c r="AH244" s="5"/>
      <c r="AI244" s="112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</row>
    <row r="245" ht="18.0" customHeight="1">
      <c r="A245" s="109"/>
      <c r="B245" s="113"/>
      <c r="C245" s="114"/>
      <c r="D245" s="114"/>
      <c r="E245" s="114"/>
      <c r="F245" s="114"/>
      <c r="G245" s="113"/>
      <c r="H245" s="114"/>
      <c r="I245" s="114"/>
      <c r="J245" s="114"/>
      <c r="K245" s="114"/>
      <c r="L245" s="114"/>
      <c r="M245" s="110"/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2"/>
      <c r="Z245" s="5"/>
      <c r="AA245" s="5"/>
      <c r="AB245" s="5"/>
      <c r="AC245" s="5"/>
      <c r="AD245" s="5"/>
      <c r="AE245" s="5"/>
      <c r="AF245" s="5"/>
      <c r="AG245" s="5"/>
      <c r="AH245" s="5"/>
      <c r="AI245" s="112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</row>
    <row r="246" ht="18.0" customHeight="1">
      <c r="A246" s="109"/>
      <c r="B246" s="113"/>
      <c r="C246" s="114"/>
      <c r="D246" s="114"/>
      <c r="E246" s="114"/>
      <c r="F246" s="114"/>
      <c r="G246" s="113"/>
      <c r="H246" s="114"/>
      <c r="I246" s="114"/>
      <c r="J246" s="114"/>
      <c r="K246" s="114"/>
      <c r="L246" s="114"/>
      <c r="M246" s="110"/>
      <c r="N246" s="110"/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2"/>
      <c r="Z246" s="5"/>
      <c r="AA246" s="5"/>
      <c r="AB246" s="5"/>
      <c r="AC246" s="5"/>
      <c r="AD246" s="5"/>
      <c r="AE246" s="5"/>
      <c r="AF246" s="5"/>
      <c r="AG246" s="5"/>
      <c r="AH246" s="5"/>
      <c r="AI246" s="112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</row>
    <row r="247" ht="18.0" customHeight="1">
      <c r="A247" s="109"/>
      <c r="B247" s="113"/>
      <c r="C247" s="114"/>
      <c r="D247" s="114"/>
      <c r="E247" s="114"/>
      <c r="F247" s="114"/>
      <c r="G247" s="113"/>
      <c r="H247" s="114"/>
      <c r="I247" s="114"/>
      <c r="J247" s="114"/>
      <c r="K247" s="114"/>
      <c r="L247" s="114"/>
      <c r="M247" s="110"/>
      <c r="N247" s="110"/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2"/>
      <c r="Z247" s="5"/>
      <c r="AA247" s="5"/>
      <c r="AB247" s="5"/>
      <c r="AC247" s="5"/>
      <c r="AD247" s="5"/>
      <c r="AE247" s="5"/>
      <c r="AF247" s="5"/>
      <c r="AG247" s="5"/>
      <c r="AH247" s="5"/>
      <c r="AI247" s="112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</row>
    <row r="248" ht="18.0" customHeight="1">
      <c r="A248" s="109"/>
      <c r="B248" s="113"/>
      <c r="C248" s="114"/>
      <c r="D248" s="114"/>
      <c r="E248" s="114"/>
      <c r="F248" s="114"/>
      <c r="G248" s="113"/>
      <c r="H248" s="114"/>
      <c r="I248" s="114"/>
      <c r="J248" s="114"/>
      <c r="K248" s="114"/>
      <c r="L248" s="114"/>
      <c r="M248" s="110"/>
      <c r="N248" s="110"/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2"/>
      <c r="Z248" s="5"/>
      <c r="AA248" s="5"/>
      <c r="AB248" s="5"/>
      <c r="AC248" s="5"/>
      <c r="AD248" s="5"/>
      <c r="AE248" s="5"/>
      <c r="AF248" s="5"/>
      <c r="AG248" s="5"/>
      <c r="AH248" s="5"/>
      <c r="AI248" s="112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</row>
    <row r="249" ht="18.0" customHeight="1">
      <c r="A249" s="109"/>
      <c r="B249" s="113"/>
      <c r="C249" s="114"/>
      <c r="D249" s="114"/>
      <c r="E249" s="114"/>
      <c r="F249" s="114"/>
      <c r="G249" s="113"/>
      <c r="H249" s="114"/>
      <c r="I249" s="114"/>
      <c r="J249" s="114"/>
      <c r="K249" s="114"/>
      <c r="L249" s="114"/>
      <c r="M249" s="110"/>
      <c r="N249" s="110"/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2"/>
      <c r="Z249" s="5"/>
      <c r="AA249" s="5"/>
      <c r="AB249" s="5"/>
      <c r="AC249" s="5"/>
      <c r="AD249" s="5"/>
      <c r="AE249" s="5"/>
      <c r="AF249" s="5"/>
      <c r="AG249" s="5"/>
      <c r="AH249" s="5"/>
      <c r="AI249" s="112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</row>
    <row r="250" ht="18.0" customHeight="1">
      <c r="A250" s="109"/>
      <c r="B250" s="113"/>
      <c r="C250" s="114"/>
      <c r="D250" s="114"/>
      <c r="E250" s="114"/>
      <c r="F250" s="114"/>
      <c r="G250" s="113"/>
      <c r="H250" s="114"/>
      <c r="I250" s="114"/>
      <c r="J250" s="114"/>
      <c r="K250" s="114"/>
      <c r="L250" s="114"/>
      <c r="M250" s="110"/>
      <c r="N250" s="110"/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2"/>
      <c r="Z250" s="5"/>
      <c r="AA250" s="5"/>
      <c r="AB250" s="5"/>
      <c r="AC250" s="5"/>
      <c r="AD250" s="5"/>
      <c r="AE250" s="5"/>
      <c r="AF250" s="5"/>
      <c r="AG250" s="5"/>
      <c r="AH250" s="5"/>
      <c r="AI250" s="112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</row>
    <row r="251" ht="18.0" customHeight="1">
      <c r="A251" s="109"/>
      <c r="B251" s="113"/>
      <c r="C251" s="114"/>
      <c r="D251" s="114"/>
      <c r="E251" s="114"/>
      <c r="F251" s="114"/>
      <c r="G251" s="113"/>
      <c r="H251" s="114"/>
      <c r="I251" s="114"/>
      <c r="J251" s="114"/>
      <c r="K251" s="114"/>
      <c r="L251" s="114"/>
      <c r="M251" s="110"/>
      <c r="N251" s="110"/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2"/>
      <c r="Z251" s="5"/>
      <c r="AA251" s="5"/>
      <c r="AB251" s="5"/>
      <c r="AC251" s="5"/>
      <c r="AD251" s="5"/>
      <c r="AE251" s="5"/>
      <c r="AF251" s="5"/>
      <c r="AG251" s="5"/>
      <c r="AH251" s="5"/>
      <c r="AI251" s="112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</row>
    <row r="252" ht="18.0" customHeight="1">
      <c r="A252" s="109"/>
      <c r="B252" s="113"/>
      <c r="C252" s="114"/>
      <c r="D252" s="114"/>
      <c r="E252" s="114"/>
      <c r="F252" s="114"/>
      <c r="G252" s="113"/>
      <c r="H252" s="114"/>
      <c r="I252" s="114"/>
      <c r="J252" s="114"/>
      <c r="K252" s="114"/>
      <c r="L252" s="114"/>
      <c r="M252" s="110"/>
      <c r="N252" s="110"/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2"/>
      <c r="Z252" s="5"/>
      <c r="AA252" s="5"/>
      <c r="AB252" s="5"/>
      <c r="AC252" s="5"/>
      <c r="AD252" s="5"/>
      <c r="AE252" s="5"/>
      <c r="AF252" s="5"/>
      <c r="AG252" s="5"/>
      <c r="AH252" s="5"/>
      <c r="AI252" s="112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</row>
    <row r="253" ht="18.0" customHeight="1">
      <c r="A253" s="109"/>
      <c r="B253" s="113"/>
      <c r="C253" s="114"/>
      <c r="D253" s="114"/>
      <c r="E253" s="114"/>
      <c r="F253" s="114"/>
      <c r="G253" s="113"/>
      <c r="H253" s="114"/>
      <c r="I253" s="114"/>
      <c r="J253" s="114"/>
      <c r="K253" s="114"/>
      <c r="L253" s="114"/>
      <c r="M253" s="110"/>
      <c r="N253" s="110"/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2"/>
      <c r="Z253" s="5"/>
      <c r="AA253" s="5"/>
      <c r="AB253" s="5"/>
      <c r="AC253" s="5"/>
      <c r="AD253" s="5"/>
      <c r="AE253" s="5"/>
      <c r="AF253" s="5"/>
      <c r="AG253" s="5"/>
      <c r="AH253" s="5"/>
      <c r="AI253" s="112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</row>
    <row r="254" ht="18.0" customHeight="1">
      <c r="A254" s="109"/>
      <c r="B254" s="113"/>
      <c r="C254" s="114"/>
      <c r="D254" s="114"/>
      <c r="E254" s="114"/>
      <c r="F254" s="114"/>
      <c r="G254" s="113"/>
      <c r="H254" s="114"/>
      <c r="I254" s="114"/>
      <c r="J254" s="114"/>
      <c r="K254" s="114"/>
      <c r="L254" s="114"/>
      <c r="M254" s="110"/>
      <c r="N254" s="110"/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2"/>
      <c r="Z254" s="5"/>
      <c r="AA254" s="5"/>
      <c r="AB254" s="5"/>
      <c r="AC254" s="5"/>
      <c r="AD254" s="5"/>
      <c r="AE254" s="5"/>
      <c r="AF254" s="5"/>
      <c r="AG254" s="5"/>
      <c r="AH254" s="5"/>
      <c r="AI254" s="112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</row>
    <row r="255" ht="18.0" customHeight="1">
      <c r="A255" s="109"/>
      <c r="B255" s="113"/>
      <c r="C255" s="114"/>
      <c r="D255" s="114"/>
      <c r="E255" s="114"/>
      <c r="F255" s="114"/>
      <c r="G255" s="113"/>
      <c r="H255" s="114"/>
      <c r="I255" s="114"/>
      <c r="J255" s="114"/>
      <c r="K255" s="114"/>
      <c r="L255" s="114"/>
      <c r="M255" s="110"/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2"/>
      <c r="Z255" s="5"/>
      <c r="AA255" s="5"/>
      <c r="AB255" s="5"/>
      <c r="AC255" s="5"/>
      <c r="AD255" s="5"/>
      <c r="AE255" s="5"/>
      <c r="AF255" s="5"/>
      <c r="AG255" s="5"/>
      <c r="AH255" s="5"/>
      <c r="AI255" s="112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</row>
    <row r="256" ht="18.0" customHeight="1">
      <c r="A256" s="109"/>
      <c r="B256" s="113"/>
      <c r="C256" s="114"/>
      <c r="D256" s="114"/>
      <c r="E256" s="114"/>
      <c r="F256" s="114"/>
      <c r="G256" s="113"/>
      <c r="H256" s="114"/>
      <c r="I256" s="114"/>
      <c r="J256" s="114"/>
      <c r="K256" s="114"/>
      <c r="L256" s="114"/>
      <c r="M256" s="110"/>
      <c r="N256" s="110"/>
      <c r="O256" s="110"/>
      <c r="P256" s="110"/>
      <c r="Q256" s="110"/>
      <c r="R256" s="110"/>
      <c r="S256" s="110"/>
      <c r="T256" s="110"/>
      <c r="U256" s="110"/>
      <c r="V256" s="110"/>
      <c r="W256" s="110"/>
      <c r="X256" s="110"/>
      <c r="Y256" s="112"/>
      <c r="Z256" s="5"/>
      <c r="AA256" s="5"/>
      <c r="AB256" s="5"/>
      <c r="AC256" s="5"/>
      <c r="AD256" s="5"/>
      <c r="AE256" s="5"/>
      <c r="AF256" s="5"/>
      <c r="AG256" s="5"/>
      <c r="AH256" s="5"/>
      <c r="AI256" s="112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</row>
    <row r="257" ht="18.0" customHeight="1">
      <c r="A257" s="109"/>
      <c r="B257" s="113"/>
      <c r="C257" s="114"/>
      <c r="D257" s="114"/>
      <c r="E257" s="114"/>
      <c r="F257" s="114"/>
      <c r="G257" s="113"/>
      <c r="H257" s="114"/>
      <c r="I257" s="114"/>
      <c r="J257" s="114"/>
      <c r="K257" s="114"/>
      <c r="L257" s="114"/>
      <c r="M257" s="110"/>
      <c r="N257" s="110"/>
      <c r="O257" s="110"/>
      <c r="P257" s="110"/>
      <c r="Q257" s="110"/>
      <c r="R257" s="110"/>
      <c r="S257" s="110"/>
      <c r="T257" s="110"/>
      <c r="U257" s="110"/>
      <c r="V257" s="110"/>
      <c r="W257" s="110"/>
      <c r="X257" s="110"/>
      <c r="Y257" s="112"/>
      <c r="Z257" s="5"/>
      <c r="AA257" s="5"/>
      <c r="AB257" s="5"/>
      <c r="AC257" s="5"/>
      <c r="AD257" s="5"/>
      <c r="AE257" s="5"/>
      <c r="AF257" s="5"/>
      <c r="AG257" s="5"/>
      <c r="AH257" s="5"/>
      <c r="AI257" s="112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</row>
    <row r="258" ht="18.0" customHeight="1">
      <c r="A258" s="109"/>
      <c r="B258" s="113"/>
      <c r="C258" s="114"/>
      <c r="D258" s="114"/>
      <c r="E258" s="114"/>
      <c r="F258" s="114"/>
      <c r="G258" s="113"/>
      <c r="H258" s="114"/>
      <c r="I258" s="114"/>
      <c r="J258" s="114"/>
      <c r="K258" s="114"/>
      <c r="L258" s="114"/>
      <c r="M258" s="110"/>
      <c r="N258" s="110"/>
      <c r="O258" s="110"/>
      <c r="P258" s="110"/>
      <c r="Q258" s="110"/>
      <c r="R258" s="110"/>
      <c r="S258" s="110"/>
      <c r="T258" s="110"/>
      <c r="U258" s="110"/>
      <c r="V258" s="110"/>
      <c r="W258" s="110"/>
      <c r="X258" s="110"/>
      <c r="Y258" s="112"/>
      <c r="Z258" s="5"/>
      <c r="AA258" s="5"/>
      <c r="AB258" s="5"/>
      <c r="AC258" s="5"/>
      <c r="AD258" s="5"/>
      <c r="AE258" s="5"/>
      <c r="AF258" s="5"/>
      <c r="AG258" s="5"/>
      <c r="AH258" s="5"/>
      <c r="AI258" s="112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</row>
    <row r="259" ht="18.0" customHeight="1">
      <c r="A259" s="109"/>
      <c r="B259" s="113"/>
      <c r="C259" s="114"/>
      <c r="D259" s="114"/>
      <c r="E259" s="114"/>
      <c r="F259" s="114"/>
      <c r="G259" s="113"/>
      <c r="H259" s="114"/>
      <c r="I259" s="114"/>
      <c r="J259" s="114"/>
      <c r="K259" s="114"/>
      <c r="L259" s="114"/>
      <c r="M259" s="110"/>
      <c r="N259" s="110"/>
      <c r="O259" s="110"/>
      <c r="P259" s="110"/>
      <c r="Q259" s="110"/>
      <c r="R259" s="110"/>
      <c r="S259" s="110"/>
      <c r="T259" s="110"/>
      <c r="U259" s="110"/>
      <c r="V259" s="110"/>
      <c r="W259" s="110"/>
      <c r="X259" s="110"/>
      <c r="Y259" s="112"/>
      <c r="Z259" s="5"/>
      <c r="AA259" s="5"/>
      <c r="AB259" s="5"/>
      <c r="AC259" s="5"/>
      <c r="AD259" s="5"/>
      <c r="AE259" s="5"/>
      <c r="AF259" s="5"/>
      <c r="AG259" s="5"/>
      <c r="AH259" s="5"/>
      <c r="AI259" s="112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</row>
    <row r="260" ht="18.0" customHeight="1">
      <c r="A260" s="109"/>
      <c r="B260" s="113"/>
      <c r="C260" s="114"/>
      <c r="D260" s="114"/>
      <c r="E260" s="114"/>
      <c r="F260" s="114"/>
      <c r="G260" s="113"/>
      <c r="H260" s="114"/>
      <c r="I260" s="114"/>
      <c r="J260" s="114"/>
      <c r="K260" s="114"/>
      <c r="L260" s="114"/>
      <c r="M260" s="110"/>
      <c r="N260" s="110"/>
      <c r="O260" s="110"/>
      <c r="P260" s="110"/>
      <c r="Q260" s="110"/>
      <c r="R260" s="110"/>
      <c r="S260" s="110"/>
      <c r="T260" s="110"/>
      <c r="U260" s="110"/>
      <c r="V260" s="110"/>
      <c r="W260" s="110"/>
      <c r="X260" s="110"/>
      <c r="Y260" s="112"/>
      <c r="Z260" s="5"/>
      <c r="AA260" s="5"/>
      <c r="AB260" s="5"/>
      <c r="AC260" s="5"/>
      <c r="AD260" s="5"/>
      <c r="AE260" s="5"/>
      <c r="AF260" s="5"/>
      <c r="AG260" s="5"/>
      <c r="AH260" s="5"/>
      <c r="AI260" s="112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</row>
    <row r="261" ht="18.0" customHeight="1">
      <c r="A261" s="109"/>
      <c r="B261" s="113"/>
      <c r="C261" s="114"/>
      <c r="D261" s="114"/>
      <c r="E261" s="114"/>
      <c r="F261" s="114"/>
      <c r="G261" s="113"/>
      <c r="H261" s="114"/>
      <c r="I261" s="114"/>
      <c r="J261" s="114"/>
      <c r="K261" s="114"/>
      <c r="L261" s="114"/>
      <c r="M261" s="110"/>
      <c r="N261" s="110"/>
      <c r="O261" s="110"/>
      <c r="P261" s="110"/>
      <c r="Q261" s="110"/>
      <c r="R261" s="110"/>
      <c r="S261" s="110"/>
      <c r="T261" s="110"/>
      <c r="U261" s="110"/>
      <c r="V261" s="110"/>
      <c r="W261" s="110"/>
      <c r="X261" s="110"/>
      <c r="Y261" s="112"/>
      <c r="Z261" s="5"/>
      <c r="AA261" s="5"/>
      <c r="AB261" s="5"/>
      <c r="AC261" s="5"/>
      <c r="AD261" s="5"/>
      <c r="AE261" s="5"/>
      <c r="AF261" s="5"/>
      <c r="AG261" s="5"/>
      <c r="AH261" s="5"/>
      <c r="AI261" s="112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</row>
    <row r="262" ht="18.0" customHeight="1">
      <c r="A262" s="109"/>
      <c r="B262" s="113"/>
      <c r="C262" s="114"/>
      <c r="D262" s="114"/>
      <c r="E262" s="114"/>
      <c r="F262" s="114"/>
      <c r="G262" s="113"/>
      <c r="H262" s="114"/>
      <c r="I262" s="114"/>
      <c r="J262" s="114"/>
      <c r="K262" s="114"/>
      <c r="L262" s="114"/>
      <c r="M262" s="110"/>
      <c r="N262" s="110"/>
      <c r="O262" s="110"/>
      <c r="P262" s="110"/>
      <c r="Q262" s="110"/>
      <c r="R262" s="110"/>
      <c r="S262" s="110"/>
      <c r="T262" s="110"/>
      <c r="U262" s="110"/>
      <c r="V262" s="110"/>
      <c r="W262" s="110"/>
      <c r="X262" s="110"/>
      <c r="Y262" s="112"/>
      <c r="Z262" s="5"/>
      <c r="AA262" s="5"/>
      <c r="AB262" s="5"/>
      <c r="AC262" s="5"/>
      <c r="AD262" s="5"/>
      <c r="AE262" s="5"/>
      <c r="AF262" s="5"/>
      <c r="AG262" s="5"/>
      <c r="AH262" s="5"/>
      <c r="AI262" s="112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</row>
    <row r="263" ht="18.0" customHeight="1">
      <c r="A263" s="109"/>
      <c r="B263" s="113"/>
      <c r="C263" s="114"/>
      <c r="D263" s="114"/>
      <c r="E263" s="114"/>
      <c r="F263" s="114"/>
      <c r="G263" s="113"/>
      <c r="H263" s="114"/>
      <c r="I263" s="114"/>
      <c r="J263" s="114"/>
      <c r="K263" s="114"/>
      <c r="L263" s="114"/>
      <c r="M263" s="110"/>
      <c r="N263" s="110"/>
      <c r="O263" s="110"/>
      <c r="P263" s="110"/>
      <c r="Q263" s="110"/>
      <c r="R263" s="110"/>
      <c r="S263" s="110"/>
      <c r="T263" s="110"/>
      <c r="U263" s="110"/>
      <c r="V263" s="110"/>
      <c r="W263" s="110"/>
      <c r="X263" s="110"/>
      <c r="Y263" s="112"/>
      <c r="Z263" s="5"/>
      <c r="AA263" s="5"/>
      <c r="AB263" s="5"/>
      <c r="AC263" s="5"/>
      <c r="AD263" s="5"/>
      <c r="AE263" s="5"/>
      <c r="AF263" s="5"/>
      <c r="AG263" s="5"/>
      <c r="AH263" s="5"/>
      <c r="AI263" s="112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</row>
    <row r="264" ht="18.0" customHeight="1">
      <c r="A264" s="109"/>
      <c r="B264" s="113"/>
      <c r="C264" s="114"/>
      <c r="D264" s="114"/>
      <c r="E264" s="114"/>
      <c r="F264" s="114"/>
      <c r="G264" s="113"/>
      <c r="H264" s="114"/>
      <c r="I264" s="114"/>
      <c r="J264" s="114"/>
      <c r="K264" s="114"/>
      <c r="L264" s="114"/>
      <c r="M264" s="110"/>
      <c r="N264" s="110"/>
      <c r="O264" s="110"/>
      <c r="P264" s="110"/>
      <c r="Q264" s="110"/>
      <c r="R264" s="110"/>
      <c r="S264" s="110"/>
      <c r="T264" s="110"/>
      <c r="U264" s="110"/>
      <c r="V264" s="110"/>
      <c r="W264" s="110"/>
      <c r="X264" s="110"/>
      <c r="Y264" s="112"/>
      <c r="Z264" s="5"/>
      <c r="AA264" s="5"/>
      <c r="AB264" s="5"/>
      <c r="AC264" s="5"/>
      <c r="AD264" s="5"/>
      <c r="AE264" s="5"/>
      <c r="AF264" s="5"/>
      <c r="AG264" s="5"/>
      <c r="AH264" s="5"/>
      <c r="AI264" s="112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</row>
    <row r="265" ht="18.0" customHeight="1">
      <c r="A265" s="109"/>
      <c r="B265" s="113"/>
      <c r="C265" s="114"/>
      <c r="D265" s="114"/>
      <c r="E265" s="114"/>
      <c r="F265" s="114"/>
      <c r="G265" s="113"/>
      <c r="H265" s="114"/>
      <c r="I265" s="114"/>
      <c r="J265" s="114"/>
      <c r="K265" s="114"/>
      <c r="L265" s="114"/>
      <c r="M265" s="110"/>
      <c r="N265" s="110"/>
      <c r="O265" s="110"/>
      <c r="P265" s="110"/>
      <c r="Q265" s="110"/>
      <c r="R265" s="110"/>
      <c r="S265" s="110"/>
      <c r="T265" s="110"/>
      <c r="U265" s="110"/>
      <c r="V265" s="110"/>
      <c r="W265" s="110"/>
      <c r="X265" s="110"/>
      <c r="Y265" s="112"/>
      <c r="Z265" s="5"/>
      <c r="AA265" s="5"/>
      <c r="AB265" s="5"/>
      <c r="AC265" s="5"/>
      <c r="AD265" s="5"/>
      <c r="AE265" s="5"/>
      <c r="AF265" s="5"/>
      <c r="AG265" s="5"/>
      <c r="AH265" s="5"/>
      <c r="AI265" s="112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</row>
    <row r="266" ht="18.0" customHeight="1">
      <c r="A266" s="109"/>
      <c r="B266" s="113"/>
      <c r="C266" s="114"/>
      <c r="D266" s="114"/>
      <c r="E266" s="114"/>
      <c r="F266" s="114"/>
      <c r="G266" s="113"/>
      <c r="H266" s="114"/>
      <c r="I266" s="114"/>
      <c r="J266" s="114"/>
      <c r="K266" s="114"/>
      <c r="L266" s="114"/>
      <c r="M266" s="110"/>
      <c r="N266" s="110"/>
      <c r="O266" s="110"/>
      <c r="P266" s="110"/>
      <c r="Q266" s="110"/>
      <c r="R266" s="110"/>
      <c r="S266" s="110"/>
      <c r="T266" s="110"/>
      <c r="U266" s="110"/>
      <c r="V266" s="110"/>
      <c r="W266" s="110"/>
      <c r="X266" s="110"/>
      <c r="Y266" s="112"/>
      <c r="Z266" s="5"/>
      <c r="AA266" s="5"/>
      <c r="AB266" s="5"/>
      <c r="AC266" s="5"/>
      <c r="AD266" s="5"/>
      <c r="AE266" s="5"/>
      <c r="AF266" s="5"/>
      <c r="AG266" s="5"/>
      <c r="AH266" s="5"/>
      <c r="AI266" s="112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</row>
    <row r="267" ht="18.0" customHeight="1">
      <c r="A267" s="109"/>
      <c r="B267" s="113"/>
      <c r="C267" s="114"/>
      <c r="D267" s="114"/>
      <c r="E267" s="114"/>
      <c r="F267" s="114"/>
      <c r="G267" s="113"/>
      <c r="H267" s="114"/>
      <c r="I267" s="114"/>
      <c r="J267" s="114"/>
      <c r="K267" s="114"/>
      <c r="L267" s="114"/>
      <c r="M267" s="110"/>
      <c r="N267" s="110"/>
      <c r="O267" s="110"/>
      <c r="P267" s="110"/>
      <c r="Q267" s="110"/>
      <c r="R267" s="110"/>
      <c r="S267" s="110"/>
      <c r="T267" s="110"/>
      <c r="U267" s="110"/>
      <c r="V267" s="110"/>
      <c r="W267" s="110"/>
      <c r="X267" s="110"/>
      <c r="Y267" s="112"/>
      <c r="Z267" s="5"/>
      <c r="AA267" s="5"/>
      <c r="AB267" s="5"/>
      <c r="AC267" s="5"/>
      <c r="AD267" s="5"/>
      <c r="AE267" s="5"/>
      <c r="AF267" s="5"/>
      <c r="AG267" s="5"/>
      <c r="AH267" s="5"/>
      <c r="AI267" s="112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</row>
    <row r="268" ht="18.0" customHeight="1">
      <c r="A268" s="109"/>
      <c r="B268" s="113"/>
      <c r="C268" s="114"/>
      <c r="D268" s="114"/>
      <c r="E268" s="114"/>
      <c r="F268" s="114"/>
      <c r="G268" s="113"/>
      <c r="H268" s="114"/>
      <c r="I268" s="114"/>
      <c r="J268" s="114"/>
      <c r="K268" s="114"/>
      <c r="L268" s="114"/>
      <c r="M268" s="110"/>
      <c r="N268" s="110"/>
      <c r="O268" s="110"/>
      <c r="P268" s="110"/>
      <c r="Q268" s="110"/>
      <c r="R268" s="110"/>
      <c r="S268" s="110"/>
      <c r="T268" s="110"/>
      <c r="U268" s="110"/>
      <c r="V268" s="110"/>
      <c r="W268" s="110"/>
      <c r="X268" s="110"/>
      <c r="Y268" s="112"/>
      <c r="Z268" s="5"/>
      <c r="AA268" s="5"/>
      <c r="AB268" s="5"/>
      <c r="AC268" s="5"/>
      <c r="AD268" s="5"/>
      <c r="AE268" s="5"/>
      <c r="AF268" s="5"/>
      <c r="AG268" s="5"/>
      <c r="AH268" s="5"/>
      <c r="AI268" s="112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</row>
    <row r="269" ht="18.0" customHeight="1">
      <c r="A269" s="109"/>
      <c r="B269" s="113"/>
      <c r="C269" s="114"/>
      <c r="D269" s="114"/>
      <c r="E269" s="114"/>
      <c r="F269" s="114"/>
      <c r="G269" s="113"/>
      <c r="H269" s="114"/>
      <c r="I269" s="114"/>
      <c r="J269" s="114"/>
      <c r="K269" s="114"/>
      <c r="L269" s="114"/>
      <c r="M269" s="110"/>
      <c r="N269" s="110"/>
      <c r="O269" s="110"/>
      <c r="P269" s="110"/>
      <c r="Q269" s="110"/>
      <c r="R269" s="110"/>
      <c r="S269" s="110"/>
      <c r="T269" s="110"/>
      <c r="U269" s="110"/>
      <c r="V269" s="110"/>
      <c r="W269" s="110"/>
      <c r="X269" s="110"/>
      <c r="Y269" s="112"/>
      <c r="Z269" s="5"/>
      <c r="AA269" s="5"/>
      <c r="AB269" s="5"/>
      <c r="AC269" s="5"/>
      <c r="AD269" s="5"/>
      <c r="AE269" s="5"/>
      <c r="AF269" s="5"/>
      <c r="AG269" s="5"/>
      <c r="AH269" s="5"/>
      <c r="AI269" s="112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</row>
    <row r="270" ht="18.0" customHeight="1">
      <c r="A270" s="109"/>
      <c r="B270" s="113"/>
      <c r="C270" s="114"/>
      <c r="D270" s="114"/>
      <c r="E270" s="114"/>
      <c r="F270" s="114"/>
      <c r="G270" s="113"/>
      <c r="H270" s="114"/>
      <c r="I270" s="114"/>
      <c r="J270" s="114"/>
      <c r="K270" s="114"/>
      <c r="L270" s="114"/>
      <c r="M270" s="110"/>
      <c r="N270" s="110"/>
      <c r="O270" s="110"/>
      <c r="P270" s="110"/>
      <c r="Q270" s="110"/>
      <c r="R270" s="110"/>
      <c r="S270" s="110"/>
      <c r="T270" s="110"/>
      <c r="U270" s="110"/>
      <c r="V270" s="110"/>
      <c r="W270" s="110"/>
      <c r="X270" s="110"/>
      <c r="Y270" s="112"/>
      <c r="Z270" s="5"/>
      <c r="AA270" s="5"/>
      <c r="AB270" s="5"/>
      <c r="AC270" s="5"/>
      <c r="AD270" s="5"/>
      <c r="AE270" s="5"/>
      <c r="AF270" s="5"/>
      <c r="AG270" s="5"/>
      <c r="AH270" s="5"/>
      <c r="AI270" s="112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</row>
    <row r="271" ht="18.0" customHeight="1">
      <c r="A271" s="109"/>
      <c r="B271" s="113"/>
      <c r="C271" s="114"/>
      <c r="D271" s="114"/>
      <c r="E271" s="114"/>
      <c r="F271" s="114"/>
      <c r="G271" s="113"/>
      <c r="H271" s="114"/>
      <c r="I271" s="114"/>
      <c r="J271" s="114"/>
      <c r="K271" s="114"/>
      <c r="L271" s="114"/>
      <c r="M271" s="110"/>
      <c r="N271" s="110"/>
      <c r="O271" s="110"/>
      <c r="P271" s="110"/>
      <c r="Q271" s="110"/>
      <c r="R271" s="110"/>
      <c r="S271" s="110"/>
      <c r="T271" s="110"/>
      <c r="U271" s="110"/>
      <c r="V271" s="110"/>
      <c r="W271" s="110"/>
      <c r="X271" s="110"/>
      <c r="Y271" s="112"/>
      <c r="Z271" s="5"/>
      <c r="AA271" s="5"/>
      <c r="AB271" s="5"/>
      <c r="AC271" s="5"/>
      <c r="AD271" s="5"/>
      <c r="AE271" s="5"/>
      <c r="AF271" s="5"/>
      <c r="AG271" s="5"/>
      <c r="AH271" s="5"/>
      <c r="AI271" s="112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</row>
    <row r="272" ht="18.0" customHeight="1">
      <c r="A272" s="109"/>
      <c r="B272" s="113"/>
      <c r="C272" s="114"/>
      <c r="D272" s="114"/>
      <c r="E272" s="114"/>
      <c r="F272" s="114"/>
      <c r="G272" s="113"/>
      <c r="H272" s="114"/>
      <c r="I272" s="114"/>
      <c r="J272" s="114"/>
      <c r="K272" s="114"/>
      <c r="L272" s="114"/>
      <c r="M272" s="110"/>
      <c r="N272" s="110"/>
      <c r="O272" s="110"/>
      <c r="P272" s="110"/>
      <c r="Q272" s="110"/>
      <c r="R272" s="110"/>
      <c r="S272" s="110"/>
      <c r="T272" s="110"/>
      <c r="U272" s="110"/>
      <c r="V272" s="110"/>
      <c r="W272" s="110"/>
      <c r="X272" s="110"/>
      <c r="Y272" s="112"/>
      <c r="Z272" s="5"/>
      <c r="AA272" s="5"/>
      <c r="AB272" s="5"/>
      <c r="AC272" s="5"/>
      <c r="AD272" s="5"/>
      <c r="AE272" s="5"/>
      <c r="AF272" s="5"/>
      <c r="AG272" s="5"/>
      <c r="AH272" s="5"/>
      <c r="AI272" s="112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</row>
    <row r="273" ht="18.0" customHeight="1">
      <c r="A273" s="109"/>
      <c r="B273" s="113"/>
      <c r="C273" s="114"/>
      <c r="D273" s="114"/>
      <c r="E273" s="114"/>
      <c r="F273" s="114"/>
      <c r="G273" s="113"/>
      <c r="H273" s="114"/>
      <c r="I273" s="114"/>
      <c r="J273" s="114"/>
      <c r="K273" s="114"/>
      <c r="L273" s="114"/>
      <c r="M273" s="110"/>
      <c r="N273" s="110"/>
      <c r="O273" s="110"/>
      <c r="P273" s="110"/>
      <c r="Q273" s="110"/>
      <c r="R273" s="110"/>
      <c r="S273" s="110"/>
      <c r="T273" s="110"/>
      <c r="U273" s="110"/>
      <c r="V273" s="110"/>
      <c r="W273" s="110"/>
      <c r="X273" s="110"/>
      <c r="Y273" s="112"/>
      <c r="Z273" s="5"/>
      <c r="AA273" s="5"/>
      <c r="AB273" s="5"/>
      <c r="AC273" s="5"/>
      <c r="AD273" s="5"/>
      <c r="AE273" s="5"/>
      <c r="AF273" s="5"/>
      <c r="AG273" s="5"/>
      <c r="AH273" s="5"/>
      <c r="AI273" s="112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</row>
    <row r="274" ht="18.0" customHeight="1">
      <c r="A274" s="109"/>
      <c r="B274" s="113"/>
      <c r="C274" s="114"/>
      <c r="D274" s="114"/>
      <c r="E274" s="114"/>
      <c r="F274" s="114"/>
      <c r="G274" s="113"/>
      <c r="H274" s="114"/>
      <c r="I274" s="114"/>
      <c r="J274" s="114"/>
      <c r="K274" s="114"/>
      <c r="L274" s="114"/>
      <c r="M274" s="110"/>
      <c r="N274" s="110"/>
      <c r="O274" s="110"/>
      <c r="P274" s="110"/>
      <c r="Q274" s="110"/>
      <c r="R274" s="110"/>
      <c r="S274" s="110"/>
      <c r="T274" s="110"/>
      <c r="U274" s="110"/>
      <c r="V274" s="110"/>
      <c r="W274" s="110"/>
      <c r="X274" s="110"/>
      <c r="Y274" s="112"/>
      <c r="Z274" s="5"/>
      <c r="AA274" s="5"/>
      <c r="AB274" s="5"/>
      <c r="AC274" s="5"/>
      <c r="AD274" s="5"/>
      <c r="AE274" s="5"/>
      <c r="AF274" s="5"/>
      <c r="AG274" s="5"/>
      <c r="AH274" s="5"/>
      <c r="AI274" s="112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</row>
    <row r="275" ht="18.0" customHeight="1">
      <c r="A275" s="109"/>
      <c r="B275" s="113"/>
      <c r="C275" s="114"/>
      <c r="D275" s="114"/>
      <c r="E275" s="114"/>
      <c r="F275" s="114"/>
      <c r="G275" s="113"/>
      <c r="H275" s="114"/>
      <c r="I275" s="114"/>
      <c r="J275" s="114"/>
      <c r="K275" s="114"/>
      <c r="L275" s="114"/>
      <c r="M275" s="110"/>
      <c r="N275" s="110"/>
      <c r="O275" s="110"/>
      <c r="P275" s="110"/>
      <c r="Q275" s="110"/>
      <c r="R275" s="110"/>
      <c r="S275" s="110"/>
      <c r="T275" s="110"/>
      <c r="U275" s="110"/>
      <c r="V275" s="110"/>
      <c r="W275" s="110"/>
      <c r="X275" s="110"/>
      <c r="Y275" s="112"/>
      <c r="Z275" s="5"/>
      <c r="AA275" s="5"/>
      <c r="AB275" s="5"/>
      <c r="AC275" s="5"/>
      <c r="AD275" s="5"/>
      <c r="AE275" s="5"/>
      <c r="AF275" s="5"/>
      <c r="AG275" s="5"/>
      <c r="AH275" s="5"/>
      <c r="AI275" s="112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</row>
    <row r="276" ht="18.0" customHeight="1">
      <c r="A276" s="109"/>
      <c r="B276" s="113"/>
      <c r="C276" s="114"/>
      <c r="D276" s="114"/>
      <c r="E276" s="114"/>
      <c r="F276" s="114"/>
      <c r="G276" s="113"/>
      <c r="H276" s="114"/>
      <c r="I276" s="114"/>
      <c r="J276" s="114"/>
      <c r="K276" s="114"/>
      <c r="L276" s="114"/>
      <c r="M276" s="110"/>
      <c r="N276" s="110"/>
      <c r="O276" s="110"/>
      <c r="P276" s="110"/>
      <c r="Q276" s="110"/>
      <c r="R276" s="110"/>
      <c r="S276" s="110"/>
      <c r="T276" s="110"/>
      <c r="U276" s="110"/>
      <c r="V276" s="110"/>
      <c r="W276" s="110"/>
      <c r="X276" s="110"/>
      <c r="Y276" s="112"/>
      <c r="Z276" s="5"/>
      <c r="AA276" s="5"/>
      <c r="AB276" s="5"/>
      <c r="AC276" s="5"/>
      <c r="AD276" s="5"/>
      <c r="AE276" s="5"/>
      <c r="AF276" s="5"/>
      <c r="AG276" s="5"/>
      <c r="AH276" s="5"/>
      <c r="AI276" s="112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</row>
    <row r="277" ht="18.0" customHeight="1">
      <c r="A277" s="109"/>
      <c r="B277" s="113"/>
      <c r="C277" s="114"/>
      <c r="D277" s="114"/>
      <c r="E277" s="114"/>
      <c r="F277" s="114"/>
      <c r="G277" s="113"/>
      <c r="H277" s="114"/>
      <c r="I277" s="114"/>
      <c r="J277" s="114"/>
      <c r="K277" s="114"/>
      <c r="L277" s="114"/>
      <c r="M277" s="110"/>
      <c r="N277" s="110"/>
      <c r="O277" s="110"/>
      <c r="P277" s="110"/>
      <c r="Q277" s="110"/>
      <c r="R277" s="110"/>
      <c r="S277" s="110"/>
      <c r="T277" s="110"/>
      <c r="U277" s="110"/>
      <c r="V277" s="110"/>
      <c r="W277" s="110"/>
      <c r="X277" s="110"/>
      <c r="Y277" s="112"/>
      <c r="Z277" s="5"/>
      <c r="AA277" s="5"/>
      <c r="AB277" s="5"/>
      <c r="AC277" s="5"/>
      <c r="AD277" s="5"/>
      <c r="AE277" s="5"/>
      <c r="AF277" s="5"/>
      <c r="AG277" s="5"/>
      <c r="AH277" s="5"/>
      <c r="AI277" s="112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</row>
    <row r="278" ht="18.0" customHeight="1">
      <c r="A278" s="109"/>
      <c r="B278" s="113"/>
      <c r="C278" s="114"/>
      <c r="D278" s="114"/>
      <c r="E278" s="114"/>
      <c r="F278" s="114"/>
      <c r="G278" s="113"/>
      <c r="H278" s="114"/>
      <c r="I278" s="114"/>
      <c r="J278" s="114"/>
      <c r="K278" s="114"/>
      <c r="L278" s="114"/>
      <c r="M278" s="110"/>
      <c r="N278" s="110"/>
      <c r="O278" s="110"/>
      <c r="P278" s="110"/>
      <c r="Q278" s="110"/>
      <c r="R278" s="110"/>
      <c r="S278" s="110"/>
      <c r="T278" s="110"/>
      <c r="U278" s="110"/>
      <c r="V278" s="110"/>
      <c r="W278" s="110"/>
      <c r="X278" s="110"/>
      <c r="Y278" s="112"/>
      <c r="Z278" s="5"/>
      <c r="AA278" s="5"/>
      <c r="AB278" s="5"/>
      <c r="AC278" s="5"/>
      <c r="AD278" s="5"/>
      <c r="AE278" s="5"/>
      <c r="AF278" s="5"/>
      <c r="AG278" s="5"/>
      <c r="AH278" s="5"/>
      <c r="AI278" s="112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</row>
    <row r="279" ht="18.0" customHeight="1">
      <c r="A279" s="109"/>
      <c r="B279" s="113"/>
      <c r="C279" s="114"/>
      <c r="D279" s="114"/>
      <c r="E279" s="114"/>
      <c r="F279" s="114"/>
      <c r="G279" s="113"/>
      <c r="H279" s="114"/>
      <c r="I279" s="114"/>
      <c r="J279" s="114"/>
      <c r="K279" s="114"/>
      <c r="L279" s="114"/>
      <c r="M279" s="110"/>
      <c r="N279" s="110"/>
      <c r="O279" s="110"/>
      <c r="P279" s="110"/>
      <c r="Q279" s="110"/>
      <c r="R279" s="110"/>
      <c r="S279" s="110"/>
      <c r="T279" s="110"/>
      <c r="U279" s="110"/>
      <c r="V279" s="110"/>
      <c r="W279" s="110"/>
      <c r="X279" s="110"/>
      <c r="Y279" s="112"/>
      <c r="Z279" s="5"/>
      <c r="AA279" s="5"/>
      <c r="AB279" s="5"/>
      <c r="AC279" s="5"/>
      <c r="AD279" s="5"/>
      <c r="AE279" s="5"/>
      <c r="AF279" s="5"/>
      <c r="AG279" s="5"/>
      <c r="AH279" s="5"/>
      <c r="AI279" s="112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</row>
    <row r="280" ht="18.0" customHeight="1">
      <c r="A280" s="109"/>
      <c r="B280" s="113"/>
      <c r="C280" s="114"/>
      <c r="D280" s="114"/>
      <c r="E280" s="114"/>
      <c r="F280" s="114"/>
      <c r="G280" s="113"/>
      <c r="H280" s="114"/>
      <c r="I280" s="114"/>
      <c r="J280" s="114"/>
      <c r="K280" s="114"/>
      <c r="L280" s="114"/>
      <c r="M280" s="110"/>
      <c r="N280" s="110"/>
      <c r="O280" s="110"/>
      <c r="P280" s="110"/>
      <c r="Q280" s="110"/>
      <c r="R280" s="110"/>
      <c r="S280" s="110"/>
      <c r="T280" s="110"/>
      <c r="U280" s="110"/>
      <c r="V280" s="110"/>
      <c r="W280" s="110"/>
      <c r="X280" s="110"/>
      <c r="Y280" s="112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</row>
    <row r="281" ht="18.0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</row>
    <row r="282" ht="18.0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</row>
    <row r="283" ht="18.0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</row>
    <row r="284" ht="18.0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</row>
    <row r="285" ht="18.0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</row>
    <row r="286" ht="18.0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</row>
    <row r="287" ht="18.0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</row>
    <row r="288" ht="18.0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</row>
    <row r="289" ht="18.0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</row>
    <row r="290" ht="18.0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</row>
    <row r="291" ht="18.0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</row>
    <row r="292" ht="18.0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</row>
    <row r="293" ht="18.0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</row>
    <row r="294" ht="18.0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</row>
    <row r="295" ht="18.0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</row>
    <row r="296" ht="18.0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</row>
    <row r="297" ht="18.0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</row>
    <row r="298" ht="18.0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</row>
    <row r="299" ht="18.0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</row>
    <row r="300" ht="18.0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</row>
    <row r="301" ht="18.0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</row>
    <row r="302" ht="18.0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</row>
    <row r="303" ht="18.0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</row>
    <row r="304" ht="18.0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</row>
    <row r="305" ht="18.0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</row>
    <row r="306" ht="18.0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</row>
    <row r="307" ht="18.0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</row>
    <row r="308" ht="18.0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</row>
    <row r="309" ht="18.0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</row>
    <row r="310" ht="18.0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</row>
    <row r="311" ht="18.0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</row>
    <row r="312" ht="18.0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</row>
    <row r="313" ht="18.0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</row>
    <row r="314" ht="18.0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</row>
    <row r="315" ht="18.0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</row>
    <row r="316" ht="18.0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</row>
    <row r="317" ht="18.0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</row>
    <row r="318" ht="18.0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</row>
    <row r="319" ht="18.0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</row>
    <row r="320" ht="18.0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</row>
    <row r="321" ht="18.0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</row>
    <row r="322" ht="18.0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</row>
    <row r="323" ht="18.0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</row>
    <row r="324" ht="18.0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</row>
    <row r="325" ht="18.0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</row>
    <row r="326" ht="18.0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</row>
    <row r="327" ht="18.0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</row>
    <row r="328" ht="18.0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</row>
    <row r="329" ht="18.0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</row>
    <row r="330" ht="18.0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</row>
    <row r="331" ht="18.0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</row>
    <row r="332" ht="18.0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</row>
    <row r="333" ht="18.0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</row>
    <row r="334" ht="18.0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</row>
    <row r="335" ht="18.0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</row>
    <row r="336" ht="18.0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</row>
    <row r="337" ht="18.0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</row>
    <row r="338" ht="18.0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</row>
    <row r="339" ht="18.0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</row>
    <row r="340" ht="18.0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</row>
    <row r="341" ht="18.0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</row>
    <row r="342" ht="18.0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</row>
    <row r="343" ht="18.0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</row>
    <row r="344" ht="18.0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</row>
    <row r="345" ht="18.0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</row>
    <row r="346" ht="18.0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</row>
    <row r="347" ht="18.0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</row>
    <row r="348" ht="18.0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</row>
    <row r="349" ht="18.0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</row>
    <row r="350" ht="18.0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</row>
    <row r="351" ht="18.0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</row>
    <row r="352" ht="18.0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</row>
    <row r="353" ht="18.0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</row>
    <row r="354" ht="18.0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</row>
    <row r="355" ht="18.0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</row>
    <row r="356" ht="18.0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</row>
    <row r="357" ht="18.0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</row>
    <row r="358" ht="18.0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</row>
    <row r="359" ht="18.0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</row>
    <row r="360" ht="18.0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</row>
    <row r="361" ht="18.0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</row>
    <row r="362" ht="18.0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</row>
    <row r="363" ht="18.0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</row>
    <row r="364" ht="18.0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</row>
    <row r="365" ht="18.0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</row>
    <row r="366" ht="18.0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</row>
    <row r="367" ht="18.0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</row>
    <row r="368" ht="18.0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</row>
    <row r="369" ht="18.0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</row>
    <row r="370" ht="18.0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</row>
    <row r="371" ht="18.0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</row>
    <row r="372" ht="18.0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</row>
    <row r="373" ht="18.0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</row>
    <row r="374" ht="18.0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</row>
    <row r="375" ht="18.0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</row>
    <row r="376" ht="18.0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</row>
    <row r="377" ht="18.0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</row>
    <row r="378" ht="18.0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</row>
    <row r="379" ht="18.0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</row>
    <row r="380" ht="18.0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</row>
    <row r="381" ht="18.0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</row>
    <row r="382" ht="18.0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</row>
    <row r="383" ht="18.0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</row>
    <row r="384" ht="18.0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</row>
    <row r="385" ht="18.0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</row>
    <row r="386" ht="18.0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</row>
    <row r="387" ht="18.0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</row>
    <row r="388" ht="18.0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</row>
    <row r="389" ht="18.0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</row>
    <row r="390" ht="18.0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</row>
    <row r="391" ht="18.0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</row>
    <row r="392" ht="18.0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</row>
    <row r="393" ht="18.0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</row>
    <row r="394" ht="18.0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</row>
    <row r="395" ht="18.0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</row>
    <row r="396" ht="18.0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</row>
    <row r="397" ht="18.0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</row>
    <row r="398" ht="18.0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</row>
    <row r="399" ht="18.0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</row>
    <row r="400" ht="18.0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</row>
    <row r="401" ht="18.0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</row>
    <row r="402" ht="18.0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</row>
    <row r="403" ht="18.0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</row>
    <row r="404" ht="18.0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</row>
    <row r="405" ht="18.0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</row>
    <row r="406" ht="18.0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</row>
    <row r="407" ht="18.0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</row>
    <row r="408" ht="18.0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</row>
    <row r="409" ht="18.0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</row>
    <row r="410" ht="18.0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</row>
    <row r="411" ht="18.0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</row>
    <row r="412" ht="18.0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</row>
    <row r="413" ht="18.0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</row>
    <row r="414" ht="18.0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</row>
    <row r="415" ht="18.0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</row>
    <row r="416" ht="18.0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</row>
    <row r="417" ht="18.0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</row>
    <row r="418" ht="18.0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</row>
    <row r="419" ht="18.0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</row>
    <row r="420" ht="18.0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</row>
    <row r="421" ht="18.0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</row>
    <row r="422" ht="18.0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</row>
    <row r="423" ht="18.0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</row>
    <row r="424" ht="18.0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</row>
    <row r="425" ht="18.0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</row>
    <row r="426" ht="18.0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</row>
    <row r="427" ht="18.0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</row>
    <row r="428" ht="18.0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</row>
    <row r="429" ht="18.0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</row>
    <row r="430" ht="18.0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</row>
    <row r="431" ht="18.0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</row>
    <row r="432" ht="18.0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</row>
    <row r="433" ht="18.0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</row>
    <row r="434" ht="18.0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</row>
    <row r="435" ht="18.0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</row>
    <row r="436" ht="18.0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</row>
    <row r="437" ht="18.0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</row>
    <row r="438" ht="18.0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</row>
    <row r="439" ht="18.0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</row>
    <row r="440" ht="18.0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</row>
    <row r="441" ht="18.0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</row>
    <row r="442" ht="18.0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</row>
    <row r="443" ht="18.0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</row>
    <row r="444" ht="18.0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</row>
    <row r="445" ht="18.0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</row>
    <row r="446" ht="18.0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</row>
    <row r="447" ht="18.0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</row>
    <row r="448" ht="18.0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</row>
    <row r="449" ht="18.0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</row>
    <row r="450" ht="18.0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</row>
    <row r="451" ht="18.0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</row>
    <row r="452" ht="18.0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</row>
    <row r="453" ht="18.0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</row>
    <row r="454" ht="18.0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</row>
    <row r="455" ht="18.0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</row>
    <row r="456" ht="18.0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</row>
    <row r="457" ht="18.0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</row>
    <row r="458" ht="18.0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</row>
    <row r="459" ht="18.0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</row>
    <row r="460" ht="18.0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</row>
    <row r="461" ht="18.0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</row>
    <row r="462" ht="18.0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</row>
    <row r="463" ht="18.0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</row>
    <row r="464" ht="18.0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</row>
    <row r="465" ht="18.0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</row>
    <row r="466" ht="18.0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</row>
    <row r="467" ht="18.0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</row>
    <row r="468" ht="18.0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</row>
    <row r="469" ht="18.0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</row>
    <row r="470" ht="18.0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</row>
    <row r="471" ht="18.0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</row>
    <row r="472" ht="18.0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</row>
    <row r="473" ht="18.0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</row>
    <row r="474" ht="18.0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</row>
    <row r="475" ht="18.0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</row>
    <row r="476" ht="18.0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</row>
    <row r="477" ht="18.0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</row>
    <row r="478" ht="18.0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</row>
    <row r="479" ht="18.0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</row>
    <row r="480" ht="18.0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</row>
    <row r="481" ht="18.0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</row>
    <row r="482" ht="18.0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</row>
    <row r="483" ht="18.0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</row>
    <row r="484" ht="18.0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</row>
    <row r="485" ht="18.0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</row>
    <row r="486" ht="18.0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</row>
    <row r="487" ht="18.0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</row>
    <row r="488" ht="18.0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</row>
    <row r="489" ht="18.0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</row>
    <row r="490" ht="18.0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</row>
    <row r="491" ht="18.0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</row>
    <row r="492" ht="18.0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</row>
    <row r="493" ht="18.0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</row>
    <row r="494" ht="18.0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</row>
    <row r="495" ht="18.0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</row>
    <row r="496" ht="18.0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</row>
    <row r="497" ht="18.0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</row>
    <row r="498" ht="18.0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</row>
    <row r="499" ht="18.0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</row>
    <row r="500" ht="18.0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</row>
    <row r="501" ht="18.0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</row>
    <row r="502" ht="18.0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</row>
    <row r="503" ht="18.0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</row>
    <row r="504" ht="18.0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</row>
    <row r="505" ht="18.0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</row>
    <row r="506" ht="18.0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</row>
    <row r="507" ht="18.0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</row>
    <row r="508" ht="18.0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</row>
    <row r="509" ht="18.0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</row>
    <row r="510" ht="18.0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</row>
    <row r="511" ht="18.0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</row>
    <row r="512" ht="18.0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</row>
    <row r="513" ht="18.0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</row>
    <row r="514" ht="18.0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</row>
    <row r="515" ht="18.0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</row>
    <row r="516" ht="18.0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</row>
    <row r="517" ht="18.0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</row>
    <row r="518" ht="18.0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</row>
    <row r="519" ht="18.0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</row>
    <row r="520" ht="18.0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</row>
    <row r="521" ht="18.0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</row>
    <row r="522" ht="18.0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</row>
    <row r="523" ht="18.0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</row>
    <row r="524" ht="18.0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</row>
    <row r="525" ht="18.0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</row>
    <row r="526" ht="18.0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</row>
    <row r="527" ht="18.0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</row>
    <row r="528" ht="18.0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</row>
    <row r="529" ht="18.0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</row>
    <row r="530" ht="18.0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</row>
    <row r="531" ht="18.0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</row>
    <row r="532" ht="18.0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</row>
    <row r="533" ht="18.0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</row>
    <row r="534" ht="18.0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</row>
    <row r="535" ht="18.0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</row>
    <row r="536" ht="18.0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</row>
    <row r="537" ht="18.0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</row>
    <row r="538" ht="18.0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</row>
    <row r="539" ht="18.0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</row>
    <row r="540" ht="18.0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</row>
    <row r="541" ht="18.0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</row>
    <row r="542" ht="18.0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</row>
    <row r="543" ht="18.0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</row>
    <row r="544" ht="18.0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</row>
    <row r="545" ht="18.0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</row>
    <row r="546" ht="18.0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</row>
    <row r="547" ht="18.0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</row>
    <row r="548" ht="18.0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</row>
    <row r="549" ht="18.0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</row>
    <row r="550" ht="18.0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</row>
    <row r="551" ht="18.0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</row>
    <row r="552" ht="18.0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</row>
    <row r="553" ht="18.0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</row>
    <row r="554" ht="18.0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</row>
    <row r="555" ht="18.0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</row>
    <row r="556" ht="18.0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</row>
    <row r="557" ht="18.0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</row>
    <row r="558" ht="18.0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</row>
    <row r="559" ht="18.0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</row>
    <row r="560" ht="18.0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</row>
    <row r="561" ht="18.0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</row>
    <row r="562" ht="18.0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</row>
    <row r="563" ht="18.0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</row>
    <row r="564" ht="18.0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</row>
    <row r="565" ht="18.0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</row>
    <row r="566" ht="18.0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</row>
    <row r="567" ht="18.0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</row>
    <row r="568" ht="18.0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</row>
    <row r="569" ht="18.0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</row>
    <row r="570" ht="18.0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</row>
    <row r="571" ht="18.0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</row>
    <row r="572" ht="18.0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</row>
    <row r="573" ht="18.0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</row>
    <row r="574" ht="18.0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</row>
    <row r="575" ht="18.0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</row>
    <row r="576" ht="18.0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</row>
    <row r="577" ht="18.0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</row>
    <row r="578" ht="18.0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</row>
    <row r="579" ht="18.0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</row>
    <row r="580" ht="18.0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</row>
    <row r="581" ht="18.0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</row>
    <row r="582" ht="18.0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</row>
    <row r="583" ht="18.0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</row>
    <row r="584" ht="18.0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</row>
    <row r="585" ht="18.0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</row>
    <row r="586" ht="18.0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</row>
    <row r="587" ht="18.0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</row>
    <row r="588" ht="18.0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</row>
    <row r="589" ht="18.0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</row>
    <row r="590" ht="18.0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</row>
    <row r="591" ht="18.0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</row>
    <row r="592" ht="18.0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</row>
    <row r="593" ht="18.0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</row>
    <row r="594" ht="18.0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</row>
    <row r="595" ht="18.0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</row>
    <row r="596" ht="18.0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</row>
    <row r="597" ht="18.0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</row>
    <row r="598" ht="18.0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</row>
    <row r="599" ht="18.0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</row>
    <row r="600" ht="18.0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</row>
    <row r="601" ht="18.0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</row>
    <row r="602" ht="18.0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</row>
    <row r="603" ht="18.0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</row>
    <row r="604" ht="18.0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</row>
    <row r="605" ht="18.0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</row>
    <row r="606" ht="18.0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</row>
    <row r="607" ht="18.0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</row>
    <row r="608" ht="18.0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</row>
    <row r="609" ht="18.0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</row>
    <row r="610" ht="18.0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</row>
    <row r="611" ht="18.0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</row>
    <row r="612" ht="18.0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</row>
    <row r="613" ht="18.0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</row>
    <row r="614" ht="18.0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</row>
    <row r="615" ht="18.0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</row>
    <row r="616" ht="18.0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</row>
    <row r="617" ht="18.0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</row>
    <row r="618" ht="18.0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</row>
    <row r="619" ht="18.0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</row>
    <row r="620" ht="18.0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</row>
    <row r="621" ht="18.0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</row>
    <row r="622" ht="18.0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</row>
    <row r="623" ht="18.0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</row>
    <row r="624" ht="18.0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</row>
    <row r="625" ht="18.0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</row>
    <row r="626" ht="18.0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</row>
    <row r="627" ht="18.0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</row>
    <row r="628" ht="18.0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</row>
    <row r="629" ht="18.0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</row>
    <row r="630" ht="18.0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</row>
    <row r="631" ht="18.0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</row>
    <row r="632" ht="18.0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</row>
    <row r="633" ht="18.0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</row>
    <row r="634" ht="18.0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</row>
    <row r="635" ht="18.0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</row>
    <row r="636" ht="18.0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</row>
    <row r="637" ht="18.0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</row>
    <row r="638" ht="18.0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</row>
    <row r="639" ht="18.0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</row>
    <row r="640" ht="18.0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</row>
    <row r="641" ht="18.0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</row>
    <row r="642" ht="18.0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</row>
    <row r="643" ht="18.0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</row>
    <row r="644" ht="18.0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</row>
    <row r="645" ht="18.0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</row>
    <row r="646" ht="18.0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</row>
    <row r="647" ht="18.0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</row>
    <row r="648" ht="18.0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</row>
    <row r="649" ht="18.0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</row>
    <row r="650" ht="18.0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</row>
    <row r="651" ht="18.0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</row>
    <row r="652" ht="18.0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</row>
    <row r="653" ht="18.0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</row>
    <row r="654" ht="18.0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</row>
    <row r="655" ht="18.0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</row>
    <row r="656" ht="18.0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</row>
    <row r="657" ht="18.0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</row>
    <row r="658" ht="18.0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</row>
    <row r="659" ht="18.0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</row>
    <row r="660" ht="18.0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</row>
    <row r="661" ht="18.0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</row>
    <row r="662" ht="18.0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</row>
    <row r="663" ht="18.0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</row>
    <row r="664" ht="18.0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</row>
    <row r="665" ht="18.0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</row>
    <row r="666" ht="18.0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</row>
    <row r="667" ht="18.0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</row>
    <row r="668" ht="18.0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</row>
    <row r="669" ht="18.0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</row>
    <row r="670" ht="18.0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</row>
    <row r="671" ht="18.0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</row>
    <row r="672" ht="18.0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</row>
    <row r="673" ht="18.0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</row>
    <row r="674" ht="18.0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</row>
    <row r="675" ht="18.0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</row>
    <row r="676" ht="18.0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</row>
    <row r="677" ht="18.0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</row>
    <row r="678" ht="18.0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</row>
    <row r="679" ht="18.0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</row>
    <row r="680" ht="18.0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</row>
    <row r="681" ht="18.0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</row>
    <row r="682" ht="18.0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</row>
    <row r="683" ht="18.0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</row>
    <row r="684" ht="18.0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</row>
    <row r="685" ht="18.0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</row>
    <row r="686" ht="18.0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</row>
    <row r="687" ht="18.0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</row>
    <row r="688" ht="18.0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</row>
    <row r="689" ht="18.0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</row>
    <row r="690" ht="18.0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</row>
    <row r="691" ht="18.0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</row>
    <row r="692" ht="18.0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</row>
    <row r="693" ht="18.0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</row>
    <row r="694" ht="18.0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</row>
    <row r="695" ht="18.0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</row>
    <row r="696" ht="18.0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</row>
    <row r="697" ht="18.0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</row>
    <row r="698" ht="18.0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</row>
    <row r="699" ht="18.0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</row>
    <row r="700" ht="18.0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</row>
    <row r="701" ht="18.0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</row>
    <row r="702" ht="18.0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</row>
    <row r="703" ht="18.0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</row>
    <row r="704" ht="18.0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</row>
    <row r="705" ht="18.0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</row>
    <row r="706" ht="18.0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</row>
    <row r="707" ht="18.0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</row>
    <row r="708" ht="18.0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</row>
    <row r="709" ht="18.0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</row>
    <row r="710" ht="18.0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</row>
    <row r="711" ht="18.0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</row>
    <row r="712" ht="18.0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</row>
    <row r="713" ht="18.0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</row>
    <row r="714" ht="18.0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</row>
    <row r="715" ht="18.0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</row>
    <row r="716" ht="18.0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</row>
    <row r="717" ht="18.0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</row>
    <row r="718" ht="18.0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</row>
    <row r="719" ht="18.0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</row>
    <row r="720" ht="18.0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</row>
    <row r="721" ht="18.0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</row>
    <row r="722" ht="18.0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</row>
    <row r="723" ht="18.0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</row>
    <row r="724" ht="18.0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</row>
    <row r="725" ht="18.0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</row>
    <row r="726" ht="18.0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</row>
    <row r="727" ht="18.0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</row>
    <row r="728" ht="18.0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</row>
    <row r="729" ht="18.0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</row>
    <row r="730" ht="18.0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</row>
    <row r="731" ht="18.0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</row>
    <row r="732" ht="18.0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</row>
    <row r="733" ht="18.0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</row>
    <row r="734" ht="18.0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</row>
    <row r="735" ht="18.0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</row>
    <row r="736" ht="18.0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</row>
    <row r="737" ht="18.0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</row>
    <row r="738" ht="18.0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</row>
    <row r="739" ht="18.0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</row>
    <row r="740" ht="18.0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</row>
    <row r="741" ht="18.0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</row>
    <row r="742" ht="18.0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</row>
    <row r="743" ht="18.0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</row>
    <row r="744" ht="18.0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</row>
    <row r="745" ht="18.0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</row>
    <row r="746" ht="18.0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</row>
    <row r="747" ht="18.0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</row>
    <row r="748" ht="18.0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</row>
    <row r="749" ht="18.0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</row>
    <row r="750" ht="18.0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</row>
    <row r="751" ht="18.0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</row>
    <row r="752" ht="18.0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</row>
    <row r="753" ht="18.0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</row>
    <row r="754" ht="18.0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</row>
    <row r="755" ht="18.0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</row>
    <row r="756" ht="18.0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</row>
    <row r="757" ht="18.0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</row>
    <row r="758" ht="18.0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</row>
    <row r="759" ht="18.0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</row>
    <row r="760" ht="18.0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</row>
    <row r="761" ht="18.0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</row>
    <row r="762" ht="18.0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</row>
    <row r="763" ht="18.0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</row>
    <row r="764" ht="18.0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</row>
    <row r="765" ht="18.0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</row>
    <row r="766" ht="18.0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</row>
    <row r="767" ht="18.0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</row>
    <row r="768" ht="18.0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</row>
    <row r="769" ht="18.0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</row>
    <row r="770" ht="18.0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</row>
    <row r="771" ht="18.0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</row>
    <row r="772" ht="18.0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</row>
    <row r="773" ht="18.0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</row>
    <row r="774" ht="18.0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</row>
    <row r="775" ht="18.0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</row>
    <row r="776" ht="18.0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</row>
    <row r="777" ht="18.0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</row>
    <row r="778" ht="18.0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</row>
    <row r="779" ht="18.0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</row>
    <row r="780" ht="18.0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</row>
    <row r="781" ht="18.0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</row>
    <row r="782" ht="18.0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</row>
    <row r="783" ht="18.0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</row>
    <row r="784" ht="18.0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</row>
    <row r="785" ht="18.0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</row>
    <row r="786" ht="18.0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</row>
    <row r="787" ht="18.0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</row>
    <row r="788" ht="18.0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</row>
    <row r="789" ht="18.0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</row>
    <row r="790" ht="18.0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</row>
    <row r="791" ht="18.0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</row>
    <row r="792" ht="18.0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</row>
    <row r="793" ht="18.0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</row>
    <row r="794" ht="18.0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</row>
    <row r="795" ht="18.0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</row>
    <row r="796" ht="18.0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</row>
    <row r="797" ht="18.0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</row>
    <row r="798" ht="18.0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</row>
    <row r="799" ht="18.0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</row>
    <row r="800" ht="18.0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</row>
    <row r="801" ht="18.0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</row>
    <row r="802" ht="18.0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</row>
    <row r="803" ht="18.0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</row>
    <row r="804" ht="18.0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</row>
    <row r="805" ht="18.0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</row>
    <row r="806" ht="18.0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</row>
    <row r="807" ht="18.0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</row>
    <row r="808" ht="18.0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</row>
    <row r="809" ht="18.0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</row>
    <row r="810" ht="18.0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</row>
    <row r="811" ht="18.0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</row>
    <row r="812" ht="18.0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</row>
    <row r="813" ht="18.0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</row>
    <row r="814" ht="18.0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</row>
    <row r="815" ht="18.0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</row>
    <row r="816" ht="18.0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</row>
    <row r="817" ht="18.0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</row>
    <row r="818" ht="18.0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</row>
    <row r="819" ht="18.0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</row>
    <row r="820" ht="18.0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</row>
    <row r="821" ht="18.0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</row>
    <row r="822" ht="18.0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</row>
    <row r="823" ht="18.0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</row>
    <row r="824" ht="18.0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</row>
    <row r="825" ht="18.0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</row>
    <row r="826" ht="18.0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</row>
    <row r="827" ht="18.0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</row>
    <row r="828" ht="18.0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</row>
    <row r="829" ht="18.0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</row>
    <row r="830" ht="18.0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</row>
    <row r="831" ht="18.0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</row>
    <row r="832" ht="18.0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</row>
    <row r="833" ht="18.0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</row>
    <row r="834" ht="18.0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</row>
    <row r="835" ht="18.0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</row>
    <row r="836" ht="18.0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</row>
    <row r="837" ht="18.0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</row>
    <row r="838" ht="18.0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</row>
    <row r="839" ht="18.0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</row>
    <row r="840" ht="18.0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</row>
    <row r="841" ht="18.0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</row>
    <row r="842" ht="18.0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</row>
    <row r="843" ht="18.0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</row>
    <row r="844" ht="18.0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</row>
    <row r="845" ht="18.0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</row>
    <row r="846" ht="18.0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</row>
    <row r="847" ht="18.0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</row>
    <row r="848" ht="18.0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</row>
    <row r="849" ht="18.0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</row>
    <row r="850" ht="18.0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</row>
    <row r="851" ht="18.0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</row>
    <row r="852" ht="18.0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</row>
    <row r="853" ht="18.0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</row>
    <row r="854" ht="18.0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</row>
    <row r="855" ht="18.0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</row>
    <row r="856" ht="18.0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</row>
    <row r="857" ht="18.0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</row>
    <row r="858" ht="18.0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</row>
    <row r="859" ht="18.0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</row>
    <row r="860" ht="18.0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</row>
    <row r="861" ht="18.0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</row>
    <row r="862" ht="18.0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</row>
    <row r="863" ht="18.0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</row>
    <row r="864" ht="18.0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</row>
    <row r="865" ht="18.0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</row>
    <row r="866" ht="18.0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</row>
    <row r="867" ht="18.0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</row>
    <row r="868" ht="18.0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</row>
    <row r="869" ht="18.0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</row>
    <row r="870" ht="18.0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</row>
    <row r="871" ht="18.0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</row>
    <row r="872" ht="18.0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</row>
    <row r="873" ht="18.0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</row>
    <row r="874" ht="18.0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</row>
    <row r="875" ht="18.0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</row>
    <row r="876" ht="18.0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</row>
    <row r="877" ht="18.0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</row>
    <row r="878" ht="18.0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</row>
    <row r="879" ht="18.0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</row>
    <row r="880" ht="18.0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</row>
    <row r="881" ht="18.0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</row>
    <row r="882" ht="18.0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</row>
    <row r="883" ht="18.0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</row>
    <row r="884" ht="18.0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</row>
    <row r="885" ht="18.0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</row>
    <row r="886" ht="18.0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</row>
    <row r="887" ht="18.0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</row>
    <row r="888" ht="18.0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</row>
    <row r="889" ht="18.0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</row>
    <row r="890" ht="18.0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</row>
    <row r="891" ht="18.0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</row>
    <row r="892" ht="18.0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</row>
    <row r="893" ht="18.0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</row>
    <row r="894" ht="18.0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</row>
    <row r="895" ht="18.0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</row>
    <row r="896" ht="18.0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</row>
    <row r="897" ht="18.0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</row>
    <row r="898" ht="18.0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</row>
    <row r="899" ht="18.0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</row>
    <row r="900" ht="18.0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</row>
    <row r="901" ht="18.0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</row>
    <row r="902" ht="18.0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</row>
    <row r="903" ht="18.0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</row>
    <row r="904" ht="18.0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</row>
    <row r="905" ht="18.0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</row>
    <row r="906" ht="18.0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</row>
    <row r="907" ht="18.0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</row>
    <row r="908" ht="18.0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</row>
    <row r="909" ht="18.0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</row>
    <row r="910" ht="18.0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</row>
    <row r="911" ht="18.0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</row>
    <row r="912" ht="18.0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</row>
    <row r="913" ht="18.0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</row>
    <row r="914" ht="18.0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</row>
    <row r="915" ht="18.0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</row>
    <row r="916" ht="18.0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</row>
    <row r="917" ht="18.0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</row>
    <row r="918" ht="18.0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</row>
    <row r="919" ht="18.0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</row>
    <row r="920" ht="18.0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</row>
    <row r="921" ht="18.0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</row>
    <row r="922" ht="18.0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</row>
    <row r="923" ht="18.0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</row>
    <row r="924" ht="18.0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</row>
    <row r="925" ht="18.0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</row>
    <row r="926" ht="18.0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</row>
    <row r="927" ht="18.0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</row>
    <row r="928" ht="18.0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</row>
    <row r="929" ht="18.0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</row>
    <row r="930" ht="18.0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</row>
    <row r="931" ht="18.0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</row>
    <row r="932" ht="18.0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</row>
    <row r="933" ht="18.0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</row>
    <row r="934" ht="18.0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</row>
    <row r="935" ht="18.0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</row>
    <row r="936" ht="18.0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</row>
    <row r="937" ht="18.0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</row>
    <row r="938" ht="18.0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</row>
    <row r="939" ht="18.0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</row>
    <row r="940" ht="18.0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</row>
    <row r="941" ht="18.0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</row>
    <row r="942" ht="18.0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</row>
    <row r="943" ht="18.0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</row>
    <row r="944" ht="18.0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</row>
    <row r="945" ht="18.0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</row>
    <row r="946" ht="18.0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</row>
    <row r="947" ht="18.0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</row>
    <row r="948" ht="18.0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</row>
    <row r="949" ht="18.0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</row>
    <row r="950" ht="18.0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</row>
    <row r="951" ht="18.0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</row>
    <row r="952" ht="18.0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</row>
    <row r="953" ht="18.0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</row>
    <row r="954" ht="18.0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</row>
    <row r="955" ht="18.0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</row>
    <row r="956" ht="18.0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</row>
    <row r="957" ht="18.0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</row>
    <row r="958" ht="18.0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</row>
    <row r="959" ht="18.0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</row>
    <row r="960" ht="18.0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</row>
    <row r="961" ht="18.0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</row>
    <row r="962" ht="18.0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</row>
    <row r="963" ht="18.0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</row>
    <row r="964" ht="18.0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</row>
    <row r="965" ht="18.0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</row>
    <row r="966" ht="18.0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</row>
    <row r="967" ht="18.0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</row>
    <row r="968" ht="18.0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</row>
    <row r="969" ht="18.0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</row>
    <row r="970" ht="18.0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</row>
    <row r="971" ht="18.0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</row>
    <row r="972" ht="18.0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</row>
    <row r="973" ht="18.0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</row>
    <row r="974" ht="18.0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</row>
    <row r="975" ht="18.0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</row>
    <row r="976" ht="18.0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</row>
    <row r="977" ht="18.0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</row>
    <row r="978" ht="18.0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</row>
    <row r="979" ht="18.0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</row>
    <row r="980" ht="18.0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</row>
    <row r="981" ht="18.0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</row>
    <row r="982" ht="18.0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</row>
    <row r="983" ht="18.0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</row>
    <row r="984" ht="18.0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</row>
    <row r="985" ht="18.0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</row>
    <row r="986" ht="18.0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</row>
    <row r="987" ht="18.0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</row>
    <row r="988" ht="18.0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</row>
    <row r="989" ht="18.0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</row>
    <row r="990" ht="18.0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</row>
    <row r="991" ht="18.0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</row>
    <row r="992" ht="18.0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</row>
    <row r="993" ht="18.0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</row>
    <row r="994" ht="18.0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</row>
    <row r="995" ht="18.0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</row>
    <row r="996" ht="18.0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</row>
    <row r="997" ht="18.0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</row>
    <row r="998" ht="18.0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</row>
    <row r="999" ht="18.0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</row>
    <row r="1000" ht="18.0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</row>
    <row r="1001" ht="18.0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</row>
    <row r="1002" ht="18.0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</row>
    <row r="1003" ht="18.0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</row>
    <row r="1004" ht="18.0" customHeight="1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</row>
    <row r="1005" ht="18.0" customHeight="1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</row>
    <row r="1006" ht="18.0" customHeight="1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</row>
    <row r="1007" ht="18.0" customHeight="1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</row>
    <row r="1008" ht="18.0" customHeight="1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</row>
    <row r="1009" ht="18.0" customHeight="1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</row>
    <row r="1010" ht="18.0" customHeight="1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</row>
    <row r="1011" ht="18.0" customHeight="1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</row>
    <row r="1012" ht="18.0" customHeight="1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</row>
    <row r="1013" ht="18.0" customHeight="1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</row>
    <row r="1014" ht="18.0" customHeight="1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</row>
    <row r="1015" ht="18.0" customHeight="1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</row>
    <row r="1016" ht="18.0" customHeight="1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</row>
    <row r="1017" ht="18.0" customHeight="1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</row>
    <row r="1018" ht="18.0" customHeight="1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</row>
    <row r="1019" ht="18.0" customHeight="1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</row>
    <row r="1020" ht="18.0" customHeight="1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</row>
    <row r="1021" ht="18.0" customHeight="1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</row>
    <row r="1022" ht="18.0" customHeight="1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</row>
    <row r="1023" ht="18.0" customHeight="1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</row>
    <row r="1024" ht="18.0" customHeight="1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</row>
    <row r="1025" ht="18.0" customHeight="1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</row>
    <row r="1026" ht="18.0" customHeight="1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</row>
    <row r="1027" ht="18.0" customHeight="1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</row>
    <row r="1028" ht="18.0" customHeight="1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</row>
    <row r="1029" ht="18.0" customHeight="1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</row>
    <row r="1030" ht="18.0" customHeight="1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</row>
    <row r="1031" ht="18.0" customHeight="1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</row>
    <row r="1032" ht="18.0" customHeight="1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</row>
    <row r="1033" ht="18.0" customHeight="1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</row>
    <row r="1034" ht="18.0" customHeight="1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</row>
    <row r="1035" ht="18.0" customHeight="1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</row>
    <row r="1036" ht="18.0" customHeight="1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</row>
    <row r="1037" ht="18.0" customHeight="1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</row>
    <row r="1038" ht="18.0" customHeight="1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</row>
    <row r="1039" ht="18.0" customHeight="1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</row>
  </sheetData>
  <autoFilter ref="$B$6:$X$16">
    <sortState ref="B6:X16">
      <sortCondition ref="B6:B16"/>
    </sortState>
  </autoFilter>
  <mergeCells count="4">
    <mergeCell ref="B2:M3"/>
    <mergeCell ref="Z2:AH3"/>
    <mergeCell ref="B5:X5"/>
    <mergeCell ref="Z5:AH5"/>
  </mergeCells>
  <conditionalFormatting sqref="AB4:AH4">
    <cfRule type="cellIs" dxfId="0" priority="1" operator="greaterThan">
      <formula>0</formula>
    </cfRule>
  </conditionalFormatting>
  <conditionalFormatting sqref="AB4:AH4">
    <cfRule type="cellIs" dxfId="1" priority="2" operator="lessThan">
      <formula>0</formula>
    </cfRule>
  </conditionalFormatting>
  <conditionalFormatting sqref="M7:M81">
    <cfRule type="containsText" dxfId="2" priority="3" operator="containsText" text="Open">
      <formula>NOT(ISERROR(SEARCH(("Open"),(M7))))</formula>
    </cfRule>
  </conditionalFormatting>
  <conditionalFormatting sqref="M7:M81">
    <cfRule type="containsText" dxfId="3" priority="4" operator="containsText" text="Closed">
      <formula>NOT(ISERROR(SEARCH(("Closed"),(M7))))</formula>
    </cfRule>
  </conditionalFormatting>
  <conditionalFormatting sqref="J7:J81">
    <cfRule type="cellIs" dxfId="3" priority="5" operator="greaterThan">
      <formula>"5%"</formula>
    </cfRule>
  </conditionalFormatting>
  <conditionalFormatting sqref="J7:J81">
    <cfRule type="cellIs" dxfId="5" priority="6" operator="between">
      <formula>"2%"</formula>
      <formula>"5%"</formula>
    </cfRule>
  </conditionalFormatting>
  <conditionalFormatting sqref="J7:J81">
    <cfRule type="cellIs" dxfId="2" priority="7" operator="lessThan">
      <formula>"2%"</formula>
    </cfRule>
  </conditionalFormatting>
  <conditionalFormatting sqref="M7:M81">
    <cfRule type="containsText" dxfId="3" priority="8" operator="containsText" text="Expired">
      <formula>NOT(ISERROR(SEARCH(("Expired"),(M7))))</formula>
    </cfRule>
  </conditionalFormatting>
  <conditionalFormatting sqref="M7:M81">
    <cfRule type="containsText" dxfId="4" priority="9" operator="containsText" text="assigned">
      <formula>NOT(ISERROR(SEARCH(("assigned"),(M7))))</formula>
    </cfRule>
  </conditionalFormatting>
  <dataValidations>
    <dataValidation type="list" allowBlank="1" sqref="M7:M53">
      <formula1>Sheet1!$A$1:$A$6</formula1>
    </dataValidation>
  </dataValidation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>
    <row r="1">
      <c r="A1" s="386"/>
    </row>
    <row r="2">
      <c r="A2" s="387" t="s">
        <v>121</v>
      </c>
    </row>
    <row r="3">
      <c r="A3" s="387" t="s">
        <v>122</v>
      </c>
    </row>
    <row r="4">
      <c r="A4" s="387" t="s">
        <v>123</v>
      </c>
    </row>
    <row r="5">
      <c r="A5" s="387" t="s">
        <v>124</v>
      </c>
    </row>
    <row r="6">
      <c r="A6" s="387" t="s">
        <v>125</v>
      </c>
    </row>
    <row r="7">
      <c r="A7" s="386"/>
    </row>
    <row r="8">
      <c r="A8" s="386"/>
    </row>
    <row r="9">
      <c r="A9" s="386"/>
    </row>
    <row r="10">
      <c r="A10" s="386"/>
    </row>
    <row r="11">
      <c r="A11" s="386"/>
    </row>
    <row r="12">
      <c r="A12" s="386"/>
    </row>
    <row r="13">
      <c r="A13" s="386"/>
    </row>
    <row r="14">
      <c r="A14" s="386"/>
    </row>
    <row r="15">
      <c r="A15" s="386"/>
    </row>
    <row r="16">
      <c r="A16" s="386"/>
    </row>
    <row r="17">
      <c r="A17" s="386"/>
      <c r="D17" s="358">
        <f>480*0.05</f>
        <v>24</v>
      </c>
    </row>
    <row r="18">
      <c r="A18" s="386"/>
      <c r="D18" s="358">
        <f>480-D17</f>
        <v>456</v>
      </c>
    </row>
    <row r="19">
      <c r="A19" s="386"/>
    </row>
    <row r="20">
      <c r="A20" s="386"/>
    </row>
    <row r="21">
      <c r="A21" s="386"/>
    </row>
    <row r="22">
      <c r="A22" s="386"/>
    </row>
    <row r="23">
      <c r="A23" s="386"/>
    </row>
    <row r="24">
      <c r="A24" s="386"/>
    </row>
    <row r="25">
      <c r="A25" s="386"/>
    </row>
    <row r="26">
      <c r="A26" s="386"/>
    </row>
    <row r="27">
      <c r="A27" s="386"/>
    </row>
    <row r="28">
      <c r="A28" s="386"/>
    </row>
    <row r="29">
      <c r="A29" s="386"/>
    </row>
    <row r="30">
      <c r="A30" s="386"/>
    </row>
    <row r="31">
      <c r="A31" s="386"/>
    </row>
    <row r="32">
      <c r="A32" s="386"/>
    </row>
    <row r="33">
      <c r="A33" s="386"/>
    </row>
    <row r="34">
      <c r="A34" s="386"/>
    </row>
    <row r="35">
      <c r="A35" s="386"/>
    </row>
    <row r="36">
      <c r="A36" s="386"/>
    </row>
    <row r="37">
      <c r="A37" s="386"/>
    </row>
    <row r="38">
      <c r="A38" s="386"/>
    </row>
    <row r="39">
      <c r="A39" s="386"/>
    </row>
    <row r="40">
      <c r="A40" s="386"/>
    </row>
    <row r="41">
      <c r="A41" s="386"/>
    </row>
    <row r="42">
      <c r="A42" s="386"/>
    </row>
    <row r="43">
      <c r="A43" s="386"/>
    </row>
    <row r="44">
      <c r="A44" s="386"/>
    </row>
    <row r="45">
      <c r="A45" s="386"/>
    </row>
    <row r="46">
      <c r="A46" s="386"/>
    </row>
    <row r="47">
      <c r="A47" s="386"/>
    </row>
    <row r="48">
      <c r="A48" s="386"/>
    </row>
    <row r="49">
      <c r="A49" s="386"/>
    </row>
    <row r="50">
      <c r="A50" s="386"/>
    </row>
    <row r="51">
      <c r="A51" s="386"/>
    </row>
    <row r="52">
      <c r="A52" s="386"/>
    </row>
    <row r="53">
      <c r="A53" s="386"/>
    </row>
    <row r="54">
      <c r="A54" s="386"/>
    </row>
    <row r="55">
      <c r="A55" s="386"/>
    </row>
    <row r="56">
      <c r="A56" s="386"/>
    </row>
    <row r="57">
      <c r="A57" s="386"/>
    </row>
    <row r="58">
      <c r="A58" s="386"/>
    </row>
    <row r="59">
      <c r="A59" s="386"/>
    </row>
    <row r="60">
      <c r="A60" s="386"/>
    </row>
    <row r="61">
      <c r="A61" s="386"/>
    </row>
    <row r="62">
      <c r="A62" s="386"/>
    </row>
    <row r="63">
      <c r="A63" s="386"/>
    </row>
    <row r="64">
      <c r="A64" s="386"/>
    </row>
    <row r="65">
      <c r="A65" s="386"/>
    </row>
    <row r="66">
      <c r="A66" s="386"/>
    </row>
    <row r="67">
      <c r="A67" s="386"/>
    </row>
    <row r="68">
      <c r="A68" s="386"/>
    </row>
    <row r="69">
      <c r="A69" s="386"/>
    </row>
    <row r="70">
      <c r="A70" s="386"/>
    </row>
    <row r="71">
      <c r="A71" s="386"/>
    </row>
    <row r="72">
      <c r="A72" s="386"/>
    </row>
    <row r="73">
      <c r="A73" s="386"/>
    </row>
    <row r="74">
      <c r="A74" s="386"/>
    </row>
    <row r="75">
      <c r="A75" s="386"/>
    </row>
    <row r="76">
      <c r="A76" s="386"/>
    </row>
    <row r="77">
      <c r="A77" s="386"/>
    </row>
    <row r="78">
      <c r="A78" s="386"/>
    </row>
    <row r="79">
      <c r="A79" s="386"/>
    </row>
    <row r="80">
      <c r="A80" s="386"/>
    </row>
    <row r="81">
      <c r="A81" s="386"/>
    </row>
    <row r="82">
      <c r="A82" s="386"/>
    </row>
    <row r="83">
      <c r="A83" s="386"/>
    </row>
    <row r="84">
      <c r="A84" s="386"/>
    </row>
    <row r="85">
      <c r="A85" s="386"/>
    </row>
    <row r="86">
      <c r="A86" s="386"/>
    </row>
    <row r="87">
      <c r="A87" s="386"/>
    </row>
    <row r="88">
      <c r="A88" s="386"/>
    </row>
    <row r="89">
      <c r="A89" s="386"/>
    </row>
    <row r="90">
      <c r="A90" s="386"/>
    </row>
    <row r="91">
      <c r="A91" s="386"/>
    </row>
    <row r="92">
      <c r="A92" s="386"/>
    </row>
    <row r="93">
      <c r="A93" s="386"/>
    </row>
    <row r="94">
      <c r="A94" s="386"/>
    </row>
    <row r="95">
      <c r="A95" s="386"/>
    </row>
    <row r="96">
      <c r="A96" s="386"/>
    </row>
    <row r="97">
      <c r="A97" s="386"/>
    </row>
    <row r="98">
      <c r="A98" s="386"/>
    </row>
    <row r="99">
      <c r="A99" s="386"/>
    </row>
    <row r="100">
      <c r="A100" s="386"/>
    </row>
    <row r="101">
      <c r="A101" s="386"/>
    </row>
    <row r="102">
      <c r="A102" s="386"/>
    </row>
    <row r="103">
      <c r="A103" s="386"/>
    </row>
    <row r="104">
      <c r="A104" s="386"/>
    </row>
    <row r="105">
      <c r="A105" s="386"/>
    </row>
    <row r="106">
      <c r="A106" s="386"/>
    </row>
    <row r="107">
      <c r="A107" s="386"/>
    </row>
    <row r="108">
      <c r="A108" s="386"/>
    </row>
    <row r="109">
      <c r="A109" s="386"/>
    </row>
    <row r="110">
      <c r="A110" s="386"/>
    </row>
    <row r="111">
      <c r="A111" s="386"/>
    </row>
    <row r="112">
      <c r="A112" s="386"/>
    </row>
    <row r="113">
      <c r="A113" s="386"/>
    </row>
    <row r="114">
      <c r="A114" s="386"/>
    </row>
    <row r="115">
      <c r="A115" s="386"/>
    </row>
    <row r="116">
      <c r="A116" s="386"/>
    </row>
    <row r="117">
      <c r="A117" s="386"/>
    </row>
    <row r="118">
      <c r="A118" s="386"/>
    </row>
    <row r="119">
      <c r="A119" s="386"/>
    </row>
    <row r="120">
      <c r="A120" s="386"/>
    </row>
    <row r="121">
      <c r="A121" s="386"/>
    </row>
    <row r="122">
      <c r="A122" s="386"/>
    </row>
    <row r="123">
      <c r="A123" s="386"/>
    </row>
    <row r="124">
      <c r="A124" s="386"/>
    </row>
    <row r="125">
      <c r="A125" s="386"/>
    </row>
    <row r="126">
      <c r="A126" s="386"/>
    </row>
    <row r="127">
      <c r="A127" s="386"/>
    </row>
    <row r="128">
      <c r="A128" s="386"/>
    </row>
    <row r="129">
      <c r="A129" s="386"/>
    </row>
    <row r="130">
      <c r="A130" s="386"/>
    </row>
    <row r="131">
      <c r="A131" s="386"/>
    </row>
    <row r="132">
      <c r="A132" s="386"/>
    </row>
    <row r="133">
      <c r="A133" s="386"/>
    </row>
    <row r="134">
      <c r="A134" s="386"/>
    </row>
    <row r="135">
      <c r="A135" s="386"/>
    </row>
    <row r="136">
      <c r="A136" s="386"/>
    </row>
    <row r="137">
      <c r="A137" s="386"/>
    </row>
    <row r="138">
      <c r="A138" s="386"/>
    </row>
    <row r="139">
      <c r="A139" s="386"/>
    </row>
    <row r="140">
      <c r="A140" s="386"/>
    </row>
    <row r="141">
      <c r="A141" s="386"/>
    </row>
    <row r="142">
      <c r="A142" s="386"/>
    </row>
    <row r="143">
      <c r="A143" s="386"/>
    </row>
    <row r="144">
      <c r="A144" s="386"/>
    </row>
    <row r="145">
      <c r="A145" s="386"/>
    </row>
    <row r="146">
      <c r="A146" s="386"/>
    </row>
    <row r="147">
      <c r="A147" s="386"/>
    </row>
    <row r="148">
      <c r="A148" s="386"/>
    </row>
    <row r="149">
      <c r="A149" s="386"/>
    </row>
    <row r="150">
      <c r="A150" s="386"/>
    </row>
    <row r="151">
      <c r="A151" s="386"/>
    </row>
    <row r="152">
      <c r="A152" s="386"/>
    </row>
    <row r="153">
      <c r="A153" s="386"/>
    </row>
    <row r="154">
      <c r="A154" s="386"/>
    </row>
    <row r="155">
      <c r="A155" s="386"/>
    </row>
    <row r="156">
      <c r="A156" s="386"/>
    </row>
    <row r="157">
      <c r="A157" s="386"/>
    </row>
    <row r="158">
      <c r="A158" s="386"/>
    </row>
    <row r="159">
      <c r="A159" s="386"/>
    </row>
    <row r="160">
      <c r="A160" s="386"/>
    </row>
    <row r="161">
      <c r="A161" s="386"/>
    </row>
    <row r="162">
      <c r="A162" s="386"/>
    </row>
    <row r="163">
      <c r="A163" s="386"/>
    </row>
    <row r="164">
      <c r="A164" s="386"/>
    </row>
    <row r="165">
      <c r="A165" s="386"/>
    </row>
    <row r="166">
      <c r="A166" s="386"/>
    </row>
    <row r="167">
      <c r="A167" s="386"/>
    </row>
    <row r="168">
      <c r="A168" s="386"/>
    </row>
    <row r="169">
      <c r="A169" s="386"/>
    </row>
    <row r="170">
      <c r="A170" s="386"/>
    </row>
    <row r="171">
      <c r="A171" s="386"/>
    </row>
    <row r="172">
      <c r="A172" s="386"/>
    </row>
    <row r="173">
      <c r="A173" s="386"/>
    </row>
    <row r="174">
      <c r="A174" s="386"/>
    </row>
    <row r="175">
      <c r="A175" s="386"/>
    </row>
    <row r="176">
      <c r="A176" s="386"/>
    </row>
    <row r="177">
      <c r="A177" s="386"/>
    </row>
    <row r="178">
      <c r="A178" s="386"/>
    </row>
    <row r="179">
      <c r="A179" s="386"/>
    </row>
    <row r="180">
      <c r="A180" s="386"/>
    </row>
    <row r="181">
      <c r="A181" s="386"/>
    </row>
    <row r="182">
      <c r="A182" s="386"/>
    </row>
    <row r="183">
      <c r="A183" s="386"/>
    </row>
    <row r="184">
      <c r="A184" s="386"/>
    </row>
    <row r="185">
      <c r="A185" s="386"/>
    </row>
    <row r="186">
      <c r="A186" s="386"/>
    </row>
    <row r="187">
      <c r="A187" s="386"/>
    </row>
    <row r="188">
      <c r="A188" s="386"/>
    </row>
    <row r="189">
      <c r="A189" s="386"/>
    </row>
    <row r="190">
      <c r="A190" s="386"/>
    </row>
    <row r="191">
      <c r="A191" s="386"/>
    </row>
    <row r="192">
      <c r="A192" s="386"/>
    </row>
    <row r="193">
      <c r="A193" s="386"/>
    </row>
    <row r="194">
      <c r="A194" s="386"/>
    </row>
    <row r="195">
      <c r="A195" s="386"/>
    </row>
    <row r="196">
      <c r="A196" s="386"/>
    </row>
    <row r="197">
      <c r="A197" s="386"/>
    </row>
    <row r="198">
      <c r="A198" s="386"/>
    </row>
    <row r="199">
      <c r="A199" s="386"/>
    </row>
    <row r="200">
      <c r="A200" s="386"/>
    </row>
    <row r="201">
      <c r="A201" s="386"/>
    </row>
    <row r="202">
      <c r="A202" s="386"/>
    </row>
    <row r="203">
      <c r="A203" s="386"/>
    </row>
    <row r="204">
      <c r="A204" s="386"/>
    </row>
    <row r="205">
      <c r="A205" s="386"/>
    </row>
    <row r="206">
      <c r="A206" s="386"/>
    </row>
    <row r="207">
      <c r="A207" s="386"/>
    </row>
    <row r="208">
      <c r="A208" s="386"/>
    </row>
    <row r="209">
      <c r="A209" s="386"/>
    </row>
    <row r="210">
      <c r="A210" s="386"/>
    </row>
    <row r="211">
      <c r="A211" s="386"/>
    </row>
    <row r="212">
      <c r="A212" s="386"/>
    </row>
    <row r="213">
      <c r="A213" s="386"/>
    </row>
    <row r="214">
      <c r="A214" s="386"/>
    </row>
    <row r="215">
      <c r="A215" s="386"/>
    </row>
    <row r="216">
      <c r="A216" s="386"/>
    </row>
    <row r="217">
      <c r="A217" s="386"/>
    </row>
    <row r="218">
      <c r="A218" s="386"/>
    </row>
    <row r="219">
      <c r="A219" s="386"/>
    </row>
    <row r="220">
      <c r="A220" s="386"/>
    </row>
    <row r="221">
      <c r="A221" s="386"/>
    </row>
    <row r="222">
      <c r="A222" s="386"/>
    </row>
    <row r="223">
      <c r="A223" s="386"/>
    </row>
    <row r="224">
      <c r="A224" s="386"/>
    </row>
    <row r="225">
      <c r="A225" s="386"/>
    </row>
    <row r="226">
      <c r="A226" s="386"/>
    </row>
    <row r="227">
      <c r="A227" s="386"/>
    </row>
    <row r="228">
      <c r="A228" s="386"/>
    </row>
    <row r="229">
      <c r="A229" s="386"/>
    </row>
    <row r="230">
      <c r="A230" s="386"/>
    </row>
    <row r="231">
      <c r="A231" s="386"/>
    </row>
    <row r="232">
      <c r="A232" s="386"/>
    </row>
    <row r="233">
      <c r="A233" s="386"/>
    </row>
    <row r="234">
      <c r="A234" s="386"/>
    </row>
    <row r="235">
      <c r="A235" s="386"/>
    </row>
    <row r="236">
      <c r="A236" s="386"/>
    </row>
    <row r="237">
      <c r="A237" s="386"/>
    </row>
    <row r="238">
      <c r="A238" s="386"/>
    </row>
    <row r="239">
      <c r="A239" s="386"/>
    </row>
    <row r="240">
      <c r="A240" s="386"/>
    </row>
    <row r="241">
      <c r="A241" s="386"/>
    </row>
    <row r="242">
      <c r="A242" s="386"/>
    </row>
    <row r="243">
      <c r="A243" s="386"/>
    </row>
    <row r="244">
      <c r="A244" s="386"/>
    </row>
    <row r="245">
      <c r="A245" s="386"/>
    </row>
    <row r="246">
      <c r="A246" s="386"/>
    </row>
    <row r="247">
      <c r="A247" s="386"/>
    </row>
    <row r="248">
      <c r="A248" s="386"/>
    </row>
    <row r="249">
      <c r="A249" s="386"/>
    </row>
    <row r="250">
      <c r="A250" s="386"/>
    </row>
    <row r="251">
      <c r="A251" s="386"/>
    </row>
    <row r="252">
      <c r="A252" s="386"/>
    </row>
    <row r="253">
      <c r="A253" s="386"/>
    </row>
    <row r="254">
      <c r="A254" s="386"/>
    </row>
    <row r="255">
      <c r="A255" s="386"/>
    </row>
    <row r="256">
      <c r="A256" s="386"/>
    </row>
    <row r="257">
      <c r="A257" s="386"/>
    </row>
    <row r="258">
      <c r="A258" s="386"/>
    </row>
    <row r="259">
      <c r="A259" s="386"/>
    </row>
    <row r="260">
      <c r="A260" s="386"/>
    </row>
    <row r="261">
      <c r="A261" s="386"/>
    </row>
    <row r="262">
      <c r="A262" s="386"/>
    </row>
    <row r="263">
      <c r="A263" s="386"/>
    </row>
    <row r="264">
      <c r="A264" s="386"/>
    </row>
    <row r="265">
      <c r="A265" s="386"/>
    </row>
    <row r="266">
      <c r="A266" s="386"/>
    </row>
    <row r="267">
      <c r="A267" s="386"/>
    </row>
    <row r="268">
      <c r="A268" s="386"/>
    </row>
    <row r="269">
      <c r="A269" s="386"/>
    </row>
    <row r="270">
      <c r="A270" s="386"/>
    </row>
    <row r="271">
      <c r="A271" s="386"/>
    </row>
    <row r="272">
      <c r="A272" s="386"/>
    </row>
    <row r="273">
      <c r="A273" s="386"/>
    </row>
    <row r="274">
      <c r="A274" s="386"/>
    </row>
    <row r="275">
      <c r="A275" s="386"/>
    </row>
    <row r="276">
      <c r="A276" s="386"/>
    </row>
    <row r="277">
      <c r="A277" s="386"/>
    </row>
    <row r="278">
      <c r="A278" s="386"/>
    </row>
    <row r="279">
      <c r="A279" s="386"/>
    </row>
    <row r="280">
      <c r="A280" s="386"/>
    </row>
    <row r="281">
      <c r="A281" s="386"/>
    </row>
    <row r="282">
      <c r="A282" s="386"/>
    </row>
    <row r="283">
      <c r="A283" s="386"/>
    </row>
    <row r="284">
      <c r="A284" s="386"/>
    </row>
    <row r="285">
      <c r="A285" s="386"/>
    </row>
    <row r="286">
      <c r="A286" s="386"/>
    </row>
    <row r="287">
      <c r="A287" s="386"/>
    </row>
    <row r="288">
      <c r="A288" s="386"/>
    </row>
    <row r="289">
      <c r="A289" s="386"/>
    </row>
    <row r="290">
      <c r="A290" s="386"/>
    </row>
    <row r="291">
      <c r="A291" s="386"/>
    </row>
    <row r="292">
      <c r="A292" s="386"/>
    </row>
    <row r="293">
      <c r="A293" s="386"/>
    </row>
    <row r="294">
      <c r="A294" s="386"/>
    </row>
    <row r="295">
      <c r="A295" s="386"/>
    </row>
    <row r="296">
      <c r="A296" s="386"/>
    </row>
    <row r="297">
      <c r="A297" s="386"/>
    </row>
    <row r="298">
      <c r="A298" s="386"/>
    </row>
    <row r="299">
      <c r="A299" s="386"/>
    </row>
    <row r="300">
      <c r="A300" s="386"/>
    </row>
    <row r="301">
      <c r="A301" s="386"/>
    </row>
    <row r="302">
      <c r="A302" s="386"/>
    </row>
    <row r="303">
      <c r="A303" s="386"/>
    </row>
    <row r="304">
      <c r="A304" s="386"/>
    </row>
    <row r="305">
      <c r="A305" s="386"/>
    </row>
    <row r="306">
      <c r="A306" s="386"/>
    </row>
    <row r="307">
      <c r="A307" s="386"/>
    </row>
    <row r="308">
      <c r="A308" s="386"/>
    </row>
    <row r="309">
      <c r="A309" s="386"/>
    </row>
    <row r="310">
      <c r="A310" s="386"/>
    </row>
    <row r="311">
      <c r="A311" s="386"/>
    </row>
    <row r="312">
      <c r="A312" s="386"/>
    </row>
    <row r="313">
      <c r="A313" s="386"/>
    </row>
    <row r="314">
      <c r="A314" s="386"/>
    </row>
    <row r="315">
      <c r="A315" s="386"/>
    </row>
    <row r="316">
      <c r="A316" s="386"/>
    </row>
    <row r="317">
      <c r="A317" s="386"/>
    </row>
    <row r="318">
      <c r="A318" s="386"/>
    </row>
    <row r="319">
      <c r="A319" s="386"/>
    </row>
    <row r="320">
      <c r="A320" s="386"/>
    </row>
    <row r="321">
      <c r="A321" s="386"/>
    </row>
    <row r="322">
      <c r="A322" s="386"/>
    </row>
    <row r="323">
      <c r="A323" s="386"/>
    </row>
    <row r="324">
      <c r="A324" s="386"/>
    </row>
    <row r="325">
      <c r="A325" s="386"/>
    </row>
    <row r="326">
      <c r="A326" s="386"/>
    </row>
    <row r="327">
      <c r="A327" s="386"/>
    </row>
    <row r="328">
      <c r="A328" s="386"/>
    </row>
    <row r="329">
      <c r="A329" s="386"/>
    </row>
    <row r="330">
      <c r="A330" s="386"/>
    </row>
    <row r="331">
      <c r="A331" s="386"/>
    </row>
    <row r="332">
      <c r="A332" s="386"/>
    </row>
    <row r="333">
      <c r="A333" s="386"/>
    </row>
    <row r="334">
      <c r="A334" s="386"/>
    </row>
    <row r="335">
      <c r="A335" s="386"/>
    </row>
    <row r="336">
      <c r="A336" s="386"/>
    </row>
    <row r="337">
      <c r="A337" s="386"/>
    </row>
    <row r="338">
      <c r="A338" s="386"/>
    </row>
    <row r="339">
      <c r="A339" s="386"/>
    </row>
    <row r="340">
      <c r="A340" s="386"/>
    </row>
    <row r="341">
      <c r="A341" s="386"/>
    </row>
    <row r="342">
      <c r="A342" s="386"/>
    </row>
    <row r="343">
      <c r="A343" s="386"/>
    </row>
    <row r="344">
      <c r="A344" s="386"/>
    </row>
    <row r="345">
      <c r="A345" s="386"/>
    </row>
    <row r="346">
      <c r="A346" s="386"/>
    </row>
    <row r="347">
      <c r="A347" s="386"/>
    </row>
    <row r="348">
      <c r="A348" s="386"/>
    </row>
    <row r="349">
      <c r="A349" s="386"/>
    </row>
    <row r="350">
      <c r="A350" s="386"/>
    </row>
    <row r="351">
      <c r="A351" s="386"/>
    </row>
    <row r="352">
      <c r="A352" s="386"/>
    </row>
    <row r="353">
      <c r="A353" s="386"/>
    </row>
    <row r="354">
      <c r="A354" s="386"/>
    </row>
    <row r="355">
      <c r="A355" s="386"/>
    </row>
    <row r="356">
      <c r="A356" s="386"/>
    </row>
    <row r="357">
      <c r="A357" s="386"/>
    </row>
    <row r="358">
      <c r="A358" s="386"/>
    </row>
    <row r="359">
      <c r="A359" s="386"/>
    </row>
    <row r="360">
      <c r="A360" s="386"/>
    </row>
    <row r="361">
      <c r="A361" s="386"/>
    </row>
    <row r="362">
      <c r="A362" s="386"/>
    </row>
    <row r="363">
      <c r="A363" s="386"/>
    </row>
    <row r="364">
      <c r="A364" s="386"/>
    </row>
    <row r="365">
      <c r="A365" s="386"/>
    </row>
    <row r="366">
      <c r="A366" s="386"/>
    </row>
    <row r="367">
      <c r="A367" s="386"/>
    </row>
    <row r="368">
      <c r="A368" s="386"/>
    </row>
    <row r="369">
      <c r="A369" s="386"/>
    </row>
    <row r="370">
      <c r="A370" s="386"/>
    </row>
    <row r="371">
      <c r="A371" s="386"/>
    </row>
    <row r="372">
      <c r="A372" s="386"/>
    </row>
    <row r="373">
      <c r="A373" s="386"/>
    </row>
    <row r="374">
      <c r="A374" s="386"/>
    </row>
    <row r="375">
      <c r="A375" s="386"/>
    </row>
    <row r="376">
      <c r="A376" s="386"/>
    </row>
    <row r="377">
      <c r="A377" s="386"/>
    </row>
    <row r="378">
      <c r="A378" s="386"/>
    </row>
    <row r="379">
      <c r="A379" s="386"/>
    </row>
    <row r="380">
      <c r="A380" s="386"/>
    </row>
    <row r="381">
      <c r="A381" s="386"/>
    </row>
    <row r="382">
      <c r="A382" s="386"/>
    </row>
    <row r="383">
      <c r="A383" s="386"/>
    </row>
    <row r="384">
      <c r="A384" s="386"/>
    </row>
    <row r="385">
      <c r="A385" s="386"/>
    </row>
    <row r="386">
      <c r="A386" s="386"/>
    </row>
    <row r="387">
      <c r="A387" s="386"/>
    </row>
    <row r="388">
      <c r="A388" s="386"/>
    </row>
    <row r="389">
      <c r="A389" s="386"/>
    </row>
    <row r="390">
      <c r="A390" s="386"/>
    </row>
    <row r="391">
      <c r="A391" s="386"/>
    </row>
    <row r="392">
      <c r="A392" s="386"/>
    </row>
    <row r="393">
      <c r="A393" s="386"/>
    </row>
    <row r="394">
      <c r="A394" s="386"/>
    </row>
    <row r="395">
      <c r="A395" s="386"/>
    </row>
    <row r="396">
      <c r="A396" s="386"/>
    </row>
    <row r="397">
      <c r="A397" s="386"/>
    </row>
    <row r="398">
      <c r="A398" s="386"/>
    </row>
    <row r="399">
      <c r="A399" s="386"/>
    </row>
    <row r="400">
      <c r="A400" s="386"/>
    </row>
    <row r="401">
      <c r="A401" s="386"/>
    </row>
    <row r="402">
      <c r="A402" s="386"/>
    </row>
    <row r="403">
      <c r="A403" s="386"/>
    </row>
    <row r="404">
      <c r="A404" s="386"/>
    </row>
    <row r="405">
      <c r="A405" s="386"/>
    </row>
    <row r="406">
      <c r="A406" s="386"/>
    </row>
    <row r="407">
      <c r="A407" s="386"/>
    </row>
    <row r="408">
      <c r="A408" s="386"/>
    </row>
    <row r="409">
      <c r="A409" s="386"/>
    </row>
    <row r="410">
      <c r="A410" s="386"/>
    </row>
    <row r="411">
      <c r="A411" s="386"/>
    </row>
    <row r="412">
      <c r="A412" s="386"/>
    </row>
    <row r="413">
      <c r="A413" s="386"/>
    </row>
    <row r="414">
      <c r="A414" s="386"/>
    </row>
    <row r="415">
      <c r="A415" s="386"/>
    </row>
    <row r="416">
      <c r="A416" s="386"/>
    </row>
    <row r="417">
      <c r="A417" s="386"/>
    </row>
    <row r="418">
      <c r="A418" s="386"/>
    </row>
    <row r="419">
      <c r="A419" s="386"/>
    </row>
    <row r="420">
      <c r="A420" s="386"/>
    </row>
    <row r="421">
      <c r="A421" s="386"/>
    </row>
    <row r="422">
      <c r="A422" s="386"/>
    </row>
    <row r="423">
      <c r="A423" s="386"/>
    </row>
    <row r="424">
      <c r="A424" s="386"/>
    </row>
    <row r="425">
      <c r="A425" s="386"/>
    </row>
    <row r="426">
      <c r="A426" s="386"/>
    </row>
    <row r="427">
      <c r="A427" s="386"/>
    </row>
    <row r="428">
      <c r="A428" s="386"/>
    </row>
    <row r="429">
      <c r="A429" s="386"/>
    </row>
    <row r="430">
      <c r="A430" s="386"/>
    </row>
    <row r="431">
      <c r="A431" s="386"/>
    </row>
    <row r="432">
      <c r="A432" s="386"/>
    </row>
    <row r="433">
      <c r="A433" s="386"/>
    </row>
    <row r="434">
      <c r="A434" s="386"/>
    </row>
    <row r="435">
      <c r="A435" s="386"/>
    </row>
    <row r="436">
      <c r="A436" s="386"/>
    </row>
    <row r="437">
      <c r="A437" s="386"/>
    </row>
    <row r="438">
      <c r="A438" s="386"/>
    </row>
    <row r="439">
      <c r="A439" s="386"/>
    </row>
    <row r="440">
      <c r="A440" s="386"/>
    </row>
    <row r="441">
      <c r="A441" s="386"/>
    </row>
    <row r="442">
      <c r="A442" s="386"/>
    </row>
    <row r="443">
      <c r="A443" s="386"/>
    </row>
    <row r="444">
      <c r="A444" s="386"/>
    </row>
    <row r="445">
      <c r="A445" s="386"/>
    </row>
    <row r="446">
      <c r="A446" s="386"/>
    </row>
    <row r="447">
      <c r="A447" s="386"/>
    </row>
    <row r="448">
      <c r="A448" s="386"/>
    </row>
    <row r="449">
      <c r="A449" s="386"/>
    </row>
    <row r="450">
      <c r="A450" s="386"/>
    </row>
    <row r="451">
      <c r="A451" s="386"/>
    </row>
    <row r="452">
      <c r="A452" s="386"/>
    </row>
    <row r="453">
      <c r="A453" s="386"/>
    </row>
    <row r="454">
      <c r="A454" s="386"/>
    </row>
    <row r="455">
      <c r="A455" s="386"/>
    </row>
    <row r="456">
      <c r="A456" s="386"/>
    </row>
    <row r="457">
      <c r="A457" s="386"/>
    </row>
    <row r="458">
      <c r="A458" s="386"/>
    </row>
    <row r="459">
      <c r="A459" s="386"/>
    </row>
    <row r="460">
      <c r="A460" s="386"/>
    </row>
    <row r="461">
      <c r="A461" s="386"/>
    </row>
    <row r="462">
      <c r="A462" s="386"/>
    </row>
    <row r="463">
      <c r="A463" s="386"/>
    </row>
    <row r="464">
      <c r="A464" s="386"/>
    </row>
    <row r="465">
      <c r="A465" s="386"/>
    </row>
    <row r="466">
      <c r="A466" s="386"/>
    </row>
    <row r="467">
      <c r="A467" s="386"/>
    </row>
    <row r="468">
      <c r="A468" s="386"/>
    </row>
    <row r="469">
      <c r="A469" s="386"/>
    </row>
    <row r="470">
      <c r="A470" s="386"/>
    </row>
    <row r="471">
      <c r="A471" s="386"/>
    </row>
    <row r="472">
      <c r="A472" s="386"/>
    </row>
    <row r="473">
      <c r="A473" s="386"/>
    </row>
    <row r="474">
      <c r="A474" s="386"/>
    </row>
    <row r="475">
      <c r="A475" s="386"/>
    </row>
    <row r="476">
      <c r="A476" s="386"/>
    </row>
    <row r="477">
      <c r="A477" s="386"/>
    </row>
    <row r="478">
      <c r="A478" s="386"/>
    </row>
    <row r="479">
      <c r="A479" s="386"/>
    </row>
    <row r="480">
      <c r="A480" s="386"/>
    </row>
    <row r="481">
      <c r="A481" s="386"/>
    </row>
    <row r="482">
      <c r="A482" s="386"/>
    </row>
    <row r="483">
      <c r="A483" s="386"/>
    </row>
    <row r="484">
      <c r="A484" s="386"/>
    </row>
    <row r="485">
      <c r="A485" s="386"/>
    </row>
    <row r="486">
      <c r="A486" s="386"/>
    </row>
    <row r="487">
      <c r="A487" s="386"/>
    </row>
    <row r="488">
      <c r="A488" s="386"/>
    </row>
    <row r="489">
      <c r="A489" s="386"/>
    </row>
    <row r="490">
      <c r="A490" s="386"/>
    </row>
    <row r="491">
      <c r="A491" s="386"/>
    </row>
    <row r="492">
      <c r="A492" s="386"/>
    </row>
    <row r="493">
      <c r="A493" s="386"/>
    </row>
    <row r="494">
      <c r="A494" s="386"/>
    </row>
    <row r="495">
      <c r="A495" s="386"/>
    </row>
    <row r="496">
      <c r="A496" s="386"/>
    </row>
    <row r="497">
      <c r="A497" s="386"/>
    </row>
    <row r="498">
      <c r="A498" s="386"/>
    </row>
    <row r="499">
      <c r="A499" s="386"/>
    </row>
    <row r="500">
      <c r="A500" s="386"/>
    </row>
    <row r="501">
      <c r="A501" s="386"/>
    </row>
    <row r="502">
      <c r="A502" s="386"/>
    </row>
    <row r="503">
      <c r="A503" s="386"/>
    </row>
    <row r="504">
      <c r="A504" s="386"/>
    </row>
    <row r="505">
      <c r="A505" s="386"/>
    </row>
    <row r="506">
      <c r="A506" s="386"/>
    </row>
    <row r="507">
      <c r="A507" s="386"/>
    </row>
    <row r="508">
      <c r="A508" s="386"/>
    </row>
    <row r="509">
      <c r="A509" s="386"/>
    </row>
    <row r="510">
      <c r="A510" s="386"/>
    </row>
    <row r="511">
      <c r="A511" s="386"/>
    </row>
    <row r="512">
      <c r="A512" s="386"/>
    </row>
    <row r="513">
      <c r="A513" s="386"/>
    </row>
    <row r="514">
      <c r="A514" s="386"/>
    </row>
    <row r="515">
      <c r="A515" s="386"/>
    </row>
    <row r="516">
      <c r="A516" s="386"/>
    </row>
    <row r="517">
      <c r="A517" s="386"/>
    </row>
    <row r="518">
      <c r="A518" s="386"/>
    </row>
    <row r="519">
      <c r="A519" s="386"/>
    </row>
    <row r="520">
      <c r="A520" s="386"/>
    </row>
    <row r="521">
      <c r="A521" s="386"/>
    </row>
    <row r="522">
      <c r="A522" s="386"/>
    </row>
    <row r="523">
      <c r="A523" s="386"/>
    </row>
    <row r="524">
      <c r="A524" s="386"/>
    </row>
    <row r="525">
      <c r="A525" s="386"/>
    </row>
    <row r="526">
      <c r="A526" s="386"/>
    </row>
    <row r="527">
      <c r="A527" s="386"/>
    </row>
    <row r="528">
      <c r="A528" s="386"/>
    </row>
    <row r="529">
      <c r="A529" s="386"/>
    </row>
    <row r="530">
      <c r="A530" s="386"/>
    </row>
    <row r="531">
      <c r="A531" s="386"/>
    </row>
    <row r="532">
      <c r="A532" s="386"/>
    </row>
    <row r="533">
      <c r="A533" s="386"/>
    </row>
    <row r="534">
      <c r="A534" s="386"/>
    </row>
    <row r="535">
      <c r="A535" s="386"/>
    </row>
    <row r="536">
      <c r="A536" s="386"/>
    </row>
    <row r="537">
      <c r="A537" s="386"/>
    </row>
    <row r="538">
      <c r="A538" s="386"/>
    </row>
    <row r="539">
      <c r="A539" s="386"/>
    </row>
    <row r="540">
      <c r="A540" s="386"/>
    </row>
    <row r="541">
      <c r="A541" s="386"/>
    </row>
    <row r="542">
      <c r="A542" s="386"/>
    </row>
    <row r="543">
      <c r="A543" s="386"/>
    </row>
    <row r="544">
      <c r="A544" s="386"/>
    </row>
    <row r="545">
      <c r="A545" s="386"/>
    </row>
    <row r="546">
      <c r="A546" s="386"/>
    </row>
    <row r="547">
      <c r="A547" s="386"/>
    </row>
    <row r="548">
      <c r="A548" s="386"/>
    </row>
    <row r="549">
      <c r="A549" s="386"/>
    </row>
    <row r="550">
      <c r="A550" s="386"/>
    </row>
    <row r="551">
      <c r="A551" s="386"/>
    </row>
    <row r="552">
      <c r="A552" s="386"/>
    </row>
    <row r="553">
      <c r="A553" s="386"/>
    </row>
    <row r="554">
      <c r="A554" s="386"/>
    </row>
    <row r="555">
      <c r="A555" s="386"/>
    </row>
    <row r="556">
      <c r="A556" s="386"/>
    </row>
    <row r="557">
      <c r="A557" s="386"/>
    </row>
    <row r="558">
      <c r="A558" s="386"/>
    </row>
    <row r="559">
      <c r="A559" s="386"/>
    </row>
    <row r="560">
      <c r="A560" s="386"/>
    </row>
    <row r="561">
      <c r="A561" s="386"/>
    </row>
    <row r="562">
      <c r="A562" s="386"/>
    </row>
    <row r="563">
      <c r="A563" s="386"/>
    </row>
    <row r="564">
      <c r="A564" s="386"/>
    </row>
    <row r="565">
      <c r="A565" s="386"/>
    </row>
    <row r="566">
      <c r="A566" s="386"/>
    </row>
    <row r="567">
      <c r="A567" s="386"/>
    </row>
    <row r="568">
      <c r="A568" s="386"/>
    </row>
    <row r="569">
      <c r="A569" s="386"/>
    </row>
    <row r="570">
      <c r="A570" s="386"/>
    </row>
    <row r="571">
      <c r="A571" s="386"/>
    </row>
    <row r="572">
      <c r="A572" s="386"/>
    </row>
    <row r="573">
      <c r="A573" s="386"/>
    </row>
    <row r="574">
      <c r="A574" s="386"/>
    </row>
    <row r="575">
      <c r="A575" s="386"/>
    </row>
    <row r="576">
      <c r="A576" s="386"/>
    </row>
    <row r="577">
      <c r="A577" s="386"/>
    </row>
    <row r="578">
      <c r="A578" s="386"/>
    </row>
    <row r="579">
      <c r="A579" s="386"/>
    </row>
    <row r="580">
      <c r="A580" s="386"/>
    </row>
    <row r="581">
      <c r="A581" s="386"/>
    </row>
    <row r="582">
      <c r="A582" s="386"/>
    </row>
    <row r="583">
      <c r="A583" s="386"/>
    </row>
    <row r="584">
      <c r="A584" s="386"/>
    </row>
    <row r="585">
      <c r="A585" s="386"/>
    </row>
    <row r="586">
      <c r="A586" s="386"/>
    </row>
    <row r="587">
      <c r="A587" s="386"/>
    </row>
    <row r="588">
      <c r="A588" s="386"/>
    </row>
    <row r="589">
      <c r="A589" s="386"/>
    </row>
    <row r="590">
      <c r="A590" s="386"/>
    </row>
    <row r="591">
      <c r="A591" s="386"/>
    </row>
    <row r="592">
      <c r="A592" s="386"/>
    </row>
    <row r="593">
      <c r="A593" s="386"/>
    </row>
    <row r="594">
      <c r="A594" s="386"/>
    </row>
    <row r="595">
      <c r="A595" s="386"/>
    </row>
    <row r="596">
      <c r="A596" s="386"/>
    </row>
    <row r="597">
      <c r="A597" s="386"/>
    </row>
    <row r="598">
      <c r="A598" s="386"/>
    </row>
    <row r="599">
      <c r="A599" s="386"/>
    </row>
    <row r="600">
      <c r="A600" s="386"/>
    </row>
    <row r="601">
      <c r="A601" s="386"/>
    </row>
    <row r="602">
      <c r="A602" s="386"/>
    </row>
    <row r="603">
      <c r="A603" s="386"/>
    </row>
    <row r="604">
      <c r="A604" s="386"/>
    </row>
    <row r="605">
      <c r="A605" s="386"/>
    </row>
    <row r="606">
      <c r="A606" s="386"/>
    </row>
    <row r="607">
      <c r="A607" s="386"/>
    </row>
    <row r="608">
      <c r="A608" s="386"/>
    </row>
    <row r="609">
      <c r="A609" s="386"/>
    </row>
    <row r="610">
      <c r="A610" s="386"/>
    </row>
    <row r="611">
      <c r="A611" s="386"/>
    </row>
    <row r="612">
      <c r="A612" s="386"/>
    </row>
    <row r="613">
      <c r="A613" s="386"/>
    </row>
    <row r="614">
      <c r="A614" s="386"/>
    </row>
    <row r="615">
      <c r="A615" s="386"/>
    </row>
    <row r="616">
      <c r="A616" s="386"/>
    </row>
    <row r="617">
      <c r="A617" s="386"/>
    </row>
    <row r="618">
      <c r="A618" s="386"/>
    </row>
    <row r="619">
      <c r="A619" s="386"/>
    </row>
    <row r="620">
      <c r="A620" s="386"/>
    </row>
    <row r="621">
      <c r="A621" s="386"/>
    </row>
    <row r="622">
      <c r="A622" s="386"/>
    </row>
    <row r="623">
      <c r="A623" s="386"/>
    </row>
    <row r="624">
      <c r="A624" s="386"/>
    </row>
    <row r="625">
      <c r="A625" s="386"/>
    </row>
    <row r="626">
      <c r="A626" s="386"/>
    </row>
    <row r="627">
      <c r="A627" s="386"/>
    </row>
    <row r="628">
      <c r="A628" s="386"/>
    </row>
    <row r="629">
      <c r="A629" s="386"/>
    </row>
    <row r="630">
      <c r="A630" s="386"/>
    </row>
    <row r="631">
      <c r="A631" s="386"/>
    </row>
    <row r="632">
      <c r="A632" s="386"/>
    </row>
    <row r="633">
      <c r="A633" s="386"/>
    </row>
    <row r="634">
      <c r="A634" s="386"/>
    </row>
    <row r="635">
      <c r="A635" s="386"/>
    </row>
    <row r="636">
      <c r="A636" s="386"/>
    </row>
    <row r="637">
      <c r="A637" s="386"/>
    </row>
    <row r="638">
      <c r="A638" s="386"/>
    </row>
    <row r="639">
      <c r="A639" s="386"/>
    </row>
    <row r="640">
      <c r="A640" s="386"/>
    </row>
    <row r="641">
      <c r="A641" s="386"/>
    </row>
    <row r="642">
      <c r="A642" s="386"/>
    </row>
    <row r="643">
      <c r="A643" s="386"/>
    </row>
    <row r="644">
      <c r="A644" s="386"/>
    </row>
    <row r="645">
      <c r="A645" s="386"/>
    </row>
    <row r="646">
      <c r="A646" s="386"/>
    </row>
    <row r="647">
      <c r="A647" s="386"/>
    </row>
    <row r="648">
      <c r="A648" s="386"/>
    </row>
    <row r="649">
      <c r="A649" s="386"/>
    </row>
    <row r="650">
      <c r="A650" s="386"/>
    </row>
    <row r="651">
      <c r="A651" s="386"/>
    </row>
    <row r="652">
      <c r="A652" s="386"/>
    </row>
    <row r="653">
      <c r="A653" s="386"/>
    </row>
    <row r="654">
      <c r="A654" s="386"/>
    </row>
    <row r="655">
      <c r="A655" s="386"/>
    </row>
    <row r="656">
      <c r="A656" s="386"/>
    </row>
    <row r="657">
      <c r="A657" s="386"/>
    </row>
    <row r="658">
      <c r="A658" s="386"/>
    </row>
    <row r="659">
      <c r="A659" s="386"/>
    </row>
    <row r="660">
      <c r="A660" s="386"/>
    </row>
    <row r="661">
      <c r="A661" s="386"/>
    </row>
    <row r="662">
      <c r="A662" s="386"/>
    </row>
    <row r="663">
      <c r="A663" s="386"/>
    </row>
    <row r="664">
      <c r="A664" s="386"/>
    </row>
    <row r="665">
      <c r="A665" s="386"/>
    </row>
    <row r="666">
      <c r="A666" s="386"/>
    </row>
    <row r="667">
      <c r="A667" s="386"/>
    </row>
    <row r="668">
      <c r="A668" s="386"/>
    </row>
    <row r="669">
      <c r="A669" s="386"/>
    </row>
    <row r="670">
      <c r="A670" s="386"/>
    </row>
    <row r="671">
      <c r="A671" s="386"/>
    </row>
    <row r="672">
      <c r="A672" s="386"/>
    </row>
    <row r="673">
      <c r="A673" s="386"/>
    </row>
    <row r="674">
      <c r="A674" s="386"/>
    </row>
    <row r="675">
      <c r="A675" s="386"/>
    </row>
    <row r="676">
      <c r="A676" s="386"/>
    </row>
    <row r="677">
      <c r="A677" s="386"/>
    </row>
    <row r="678">
      <c r="A678" s="386"/>
    </row>
    <row r="679">
      <c r="A679" s="386"/>
    </row>
    <row r="680">
      <c r="A680" s="386"/>
    </row>
    <row r="681">
      <c r="A681" s="386"/>
    </row>
    <row r="682">
      <c r="A682" s="386"/>
    </row>
    <row r="683">
      <c r="A683" s="386"/>
    </row>
    <row r="684">
      <c r="A684" s="386"/>
    </row>
    <row r="685">
      <c r="A685" s="386"/>
    </row>
    <row r="686">
      <c r="A686" s="386"/>
    </row>
    <row r="687">
      <c r="A687" s="386"/>
    </row>
    <row r="688">
      <c r="A688" s="386"/>
    </row>
    <row r="689">
      <c r="A689" s="386"/>
    </row>
    <row r="690">
      <c r="A690" s="386"/>
    </row>
    <row r="691">
      <c r="A691" s="386"/>
    </row>
    <row r="692">
      <c r="A692" s="386"/>
    </row>
    <row r="693">
      <c r="A693" s="386"/>
    </row>
    <row r="694">
      <c r="A694" s="386"/>
    </row>
    <row r="695">
      <c r="A695" s="386"/>
    </row>
    <row r="696">
      <c r="A696" s="386"/>
    </row>
    <row r="697">
      <c r="A697" s="386"/>
    </row>
    <row r="698">
      <c r="A698" s="386"/>
    </row>
    <row r="699">
      <c r="A699" s="386"/>
    </row>
    <row r="700">
      <c r="A700" s="386"/>
    </row>
    <row r="701">
      <c r="A701" s="386"/>
    </row>
    <row r="702">
      <c r="A702" s="386"/>
    </row>
    <row r="703">
      <c r="A703" s="386"/>
    </row>
    <row r="704">
      <c r="A704" s="386"/>
    </row>
    <row r="705">
      <c r="A705" s="386"/>
    </row>
    <row r="706">
      <c r="A706" s="386"/>
    </row>
    <row r="707">
      <c r="A707" s="386"/>
    </row>
    <row r="708">
      <c r="A708" s="386"/>
    </row>
    <row r="709">
      <c r="A709" s="386"/>
    </row>
    <row r="710">
      <c r="A710" s="386"/>
    </row>
    <row r="711">
      <c r="A711" s="386"/>
    </row>
    <row r="712">
      <c r="A712" s="386"/>
    </row>
    <row r="713">
      <c r="A713" s="386"/>
    </row>
    <row r="714">
      <c r="A714" s="386"/>
    </row>
    <row r="715">
      <c r="A715" s="386"/>
    </row>
    <row r="716">
      <c r="A716" s="386"/>
    </row>
    <row r="717">
      <c r="A717" s="386"/>
    </row>
    <row r="718">
      <c r="A718" s="386"/>
    </row>
    <row r="719">
      <c r="A719" s="386"/>
    </row>
    <row r="720">
      <c r="A720" s="386"/>
    </row>
    <row r="721">
      <c r="A721" s="386"/>
    </row>
    <row r="722">
      <c r="A722" s="386"/>
    </row>
    <row r="723">
      <c r="A723" s="386"/>
    </row>
    <row r="724">
      <c r="A724" s="386"/>
    </row>
    <row r="725">
      <c r="A725" s="386"/>
    </row>
    <row r="726">
      <c r="A726" s="386"/>
    </row>
    <row r="727">
      <c r="A727" s="386"/>
    </row>
    <row r="728">
      <c r="A728" s="386"/>
    </row>
    <row r="729">
      <c r="A729" s="386"/>
    </row>
    <row r="730">
      <c r="A730" s="386"/>
    </row>
    <row r="731">
      <c r="A731" s="386"/>
    </row>
    <row r="732">
      <c r="A732" s="386"/>
    </row>
    <row r="733">
      <c r="A733" s="386"/>
    </row>
    <row r="734">
      <c r="A734" s="386"/>
    </row>
    <row r="735">
      <c r="A735" s="386"/>
    </row>
    <row r="736">
      <c r="A736" s="386"/>
    </row>
    <row r="737">
      <c r="A737" s="386"/>
    </row>
    <row r="738">
      <c r="A738" s="386"/>
    </row>
    <row r="739">
      <c r="A739" s="386"/>
    </row>
    <row r="740">
      <c r="A740" s="386"/>
    </row>
    <row r="741">
      <c r="A741" s="386"/>
    </row>
    <row r="742">
      <c r="A742" s="386"/>
    </row>
    <row r="743">
      <c r="A743" s="386"/>
    </row>
    <row r="744">
      <c r="A744" s="386"/>
    </row>
    <row r="745">
      <c r="A745" s="386"/>
    </row>
    <row r="746">
      <c r="A746" s="386"/>
    </row>
    <row r="747">
      <c r="A747" s="386"/>
    </row>
    <row r="748">
      <c r="A748" s="386"/>
    </row>
    <row r="749">
      <c r="A749" s="386"/>
    </row>
    <row r="750">
      <c r="A750" s="386"/>
    </row>
    <row r="751">
      <c r="A751" s="386"/>
    </row>
    <row r="752">
      <c r="A752" s="386"/>
    </row>
    <row r="753">
      <c r="A753" s="386"/>
    </row>
    <row r="754">
      <c r="A754" s="386"/>
    </row>
    <row r="755">
      <c r="A755" s="386"/>
    </row>
    <row r="756">
      <c r="A756" s="386"/>
    </row>
    <row r="757">
      <c r="A757" s="386"/>
    </row>
    <row r="758">
      <c r="A758" s="386"/>
    </row>
    <row r="759">
      <c r="A759" s="386"/>
    </row>
    <row r="760">
      <c r="A760" s="386"/>
    </row>
    <row r="761">
      <c r="A761" s="386"/>
    </row>
    <row r="762">
      <c r="A762" s="386"/>
    </row>
    <row r="763">
      <c r="A763" s="386"/>
    </row>
    <row r="764">
      <c r="A764" s="386"/>
    </row>
    <row r="765">
      <c r="A765" s="386"/>
    </row>
    <row r="766">
      <c r="A766" s="386"/>
    </row>
    <row r="767">
      <c r="A767" s="386"/>
    </row>
    <row r="768">
      <c r="A768" s="386"/>
    </row>
    <row r="769">
      <c r="A769" s="386"/>
    </row>
    <row r="770">
      <c r="A770" s="386"/>
    </row>
    <row r="771">
      <c r="A771" s="386"/>
    </row>
    <row r="772">
      <c r="A772" s="386"/>
    </row>
    <row r="773">
      <c r="A773" s="386"/>
    </row>
    <row r="774">
      <c r="A774" s="386"/>
    </row>
    <row r="775">
      <c r="A775" s="386"/>
    </row>
    <row r="776">
      <c r="A776" s="386"/>
    </row>
    <row r="777">
      <c r="A777" s="386"/>
    </row>
    <row r="778">
      <c r="A778" s="386"/>
    </row>
    <row r="779">
      <c r="A779" s="386"/>
    </row>
    <row r="780">
      <c r="A780" s="386"/>
    </row>
    <row r="781">
      <c r="A781" s="386"/>
    </row>
    <row r="782">
      <c r="A782" s="386"/>
    </row>
    <row r="783">
      <c r="A783" s="386"/>
    </row>
    <row r="784">
      <c r="A784" s="386"/>
    </row>
    <row r="785">
      <c r="A785" s="386"/>
    </row>
    <row r="786">
      <c r="A786" s="386"/>
    </row>
    <row r="787">
      <c r="A787" s="386"/>
    </row>
    <row r="788">
      <c r="A788" s="386"/>
    </row>
    <row r="789">
      <c r="A789" s="386"/>
    </row>
    <row r="790">
      <c r="A790" s="386"/>
    </row>
    <row r="791">
      <c r="A791" s="386"/>
    </row>
    <row r="792">
      <c r="A792" s="386"/>
    </row>
    <row r="793">
      <c r="A793" s="386"/>
    </row>
    <row r="794">
      <c r="A794" s="386"/>
    </row>
    <row r="795">
      <c r="A795" s="386"/>
    </row>
    <row r="796">
      <c r="A796" s="386"/>
    </row>
    <row r="797">
      <c r="A797" s="386"/>
    </row>
    <row r="798">
      <c r="A798" s="386"/>
    </row>
    <row r="799">
      <c r="A799" s="386"/>
    </row>
    <row r="800">
      <c r="A800" s="386"/>
    </row>
    <row r="801">
      <c r="A801" s="386"/>
    </row>
    <row r="802">
      <c r="A802" s="386"/>
    </row>
    <row r="803">
      <c r="A803" s="386"/>
    </row>
    <row r="804">
      <c r="A804" s="386"/>
    </row>
    <row r="805">
      <c r="A805" s="386"/>
    </row>
    <row r="806">
      <c r="A806" s="386"/>
    </row>
    <row r="807">
      <c r="A807" s="386"/>
    </row>
    <row r="808">
      <c r="A808" s="386"/>
    </row>
    <row r="809">
      <c r="A809" s="386"/>
    </row>
    <row r="810">
      <c r="A810" s="386"/>
    </row>
    <row r="811">
      <c r="A811" s="386"/>
    </row>
    <row r="812">
      <c r="A812" s="386"/>
    </row>
    <row r="813">
      <c r="A813" s="386"/>
    </row>
    <row r="814">
      <c r="A814" s="386"/>
    </row>
    <row r="815">
      <c r="A815" s="386"/>
    </row>
    <row r="816">
      <c r="A816" s="386"/>
    </row>
    <row r="817">
      <c r="A817" s="386"/>
    </row>
    <row r="818">
      <c r="A818" s="386"/>
    </row>
    <row r="819">
      <c r="A819" s="386"/>
    </row>
    <row r="820">
      <c r="A820" s="386"/>
    </row>
    <row r="821">
      <c r="A821" s="386"/>
    </row>
    <row r="822">
      <c r="A822" s="386"/>
    </row>
    <row r="823">
      <c r="A823" s="386"/>
    </row>
    <row r="824">
      <c r="A824" s="386"/>
    </row>
    <row r="825">
      <c r="A825" s="386"/>
    </row>
    <row r="826">
      <c r="A826" s="386"/>
    </row>
    <row r="827">
      <c r="A827" s="386"/>
    </row>
    <row r="828">
      <c r="A828" s="386"/>
    </row>
    <row r="829">
      <c r="A829" s="386"/>
    </row>
    <row r="830">
      <c r="A830" s="386"/>
    </row>
    <row r="831">
      <c r="A831" s="386"/>
    </row>
    <row r="832">
      <c r="A832" s="386"/>
    </row>
    <row r="833">
      <c r="A833" s="386"/>
    </row>
    <row r="834">
      <c r="A834" s="386"/>
    </row>
    <row r="835">
      <c r="A835" s="386"/>
    </row>
    <row r="836">
      <c r="A836" s="386"/>
    </row>
    <row r="837">
      <c r="A837" s="386"/>
    </row>
    <row r="838">
      <c r="A838" s="386"/>
    </row>
    <row r="839">
      <c r="A839" s="386"/>
    </row>
    <row r="840">
      <c r="A840" s="386"/>
    </row>
    <row r="841">
      <c r="A841" s="386"/>
    </row>
    <row r="842">
      <c r="A842" s="386"/>
    </row>
    <row r="843">
      <c r="A843" s="386"/>
    </row>
    <row r="844">
      <c r="A844" s="386"/>
    </row>
    <row r="845">
      <c r="A845" s="386"/>
    </row>
    <row r="846">
      <c r="A846" s="386"/>
    </row>
    <row r="847">
      <c r="A847" s="386"/>
    </row>
    <row r="848">
      <c r="A848" s="386"/>
    </row>
    <row r="849">
      <c r="A849" s="386"/>
    </row>
    <row r="850">
      <c r="A850" s="386"/>
    </row>
    <row r="851">
      <c r="A851" s="386"/>
    </row>
    <row r="852">
      <c r="A852" s="386"/>
    </row>
    <row r="853">
      <c r="A853" s="386"/>
    </row>
    <row r="854">
      <c r="A854" s="386"/>
    </row>
    <row r="855">
      <c r="A855" s="386"/>
    </row>
    <row r="856">
      <c r="A856" s="386"/>
    </row>
    <row r="857">
      <c r="A857" s="386"/>
    </row>
    <row r="858">
      <c r="A858" s="386"/>
    </row>
    <row r="859">
      <c r="A859" s="386"/>
    </row>
    <row r="860">
      <c r="A860" s="386"/>
    </row>
    <row r="861">
      <c r="A861" s="386"/>
    </row>
    <row r="862">
      <c r="A862" s="386"/>
    </row>
    <row r="863">
      <c r="A863" s="386"/>
    </row>
    <row r="864">
      <c r="A864" s="386"/>
    </row>
    <row r="865">
      <c r="A865" s="386"/>
    </row>
    <row r="866">
      <c r="A866" s="386"/>
    </row>
    <row r="867">
      <c r="A867" s="386"/>
    </row>
    <row r="868">
      <c r="A868" s="386"/>
    </row>
    <row r="869">
      <c r="A869" s="386"/>
    </row>
    <row r="870">
      <c r="A870" s="386"/>
    </row>
    <row r="871">
      <c r="A871" s="386"/>
    </row>
    <row r="872">
      <c r="A872" s="386"/>
    </row>
    <row r="873">
      <c r="A873" s="386"/>
    </row>
    <row r="874">
      <c r="A874" s="386"/>
    </row>
    <row r="875">
      <c r="A875" s="386"/>
    </row>
    <row r="876">
      <c r="A876" s="386"/>
    </row>
    <row r="877">
      <c r="A877" s="386"/>
    </row>
    <row r="878">
      <c r="A878" s="386"/>
    </row>
    <row r="879">
      <c r="A879" s="386"/>
    </row>
    <row r="880">
      <c r="A880" s="386"/>
    </row>
    <row r="881">
      <c r="A881" s="386"/>
    </row>
    <row r="882">
      <c r="A882" s="386"/>
    </row>
    <row r="883">
      <c r="A883" s="386"/>
    </row>
    <row r="884">
      <c r="A884" s="386"/>
    </row>
    <row r="885">
      <c r="A885" s="386"/>
    </row>
    <row r="886">
      <c r="A886" s="386"/>
    </row>
    <row r="887">
      <c r="A887" s="386"/>
    </row>
    <row r="888">
      <c r="A888" s="386"/>
    </row>
    <row r="889">
      <c r="A889" s="386"/>
    </row>
    <row r="890">
      <c r="A890" s="386"/>
    </row>
    <row r="891">
      <c r="A891" s="386"/>
    </row>
    <row r="892">
      <c r="A892" s="386"/>
    </row>
    <row r="893">
      <c r="A893" s="386"/>
    </row>
    <row r="894">
      <c r="A894" s="386"/>
    </row>
    <row r="895">
      <c r="A895" s="386"/>
    </row>
    <row r="896">
      <c r="A896" s="386"/>
    </row>
    <row r="897">
      <c r="A897" s="386"/>
    </row>
    <row r="898">
      <c r="A898" s="386"/>
    </row>
    <row r="899">
      <c r="A899" s="386"/>
    </row>
    <row r="900">
      <c r="A900" s="386"/>
    </row>
    <row r="901">
      <c r="A901" s="386"/>
    </row>
    <row r="902">
      <c r="A902" s="386"/>
    </row>
    <row r="903">
      <c r="A903" s="386"/>
    </row>
    <row r="904">
      <c r="A904" s="386"/>
    </row>
    <row r="905">
      <c r="A905" s="386"/>
    </row>
    <row r="906">
      <c r="A906" s="386"/>
    </row>
    <row r="907">
      <c r="A907" s="386"/>
    </row>
    <row r="908">
      <c r="A908" s="386"/>
    </row>
    <row r="909">
      <c r="A909" s="386"/>
    </row>
    <row r="910">
      <c r="A910" s="386"/>
    </row>
    <row r="911">
      <c r="A911" s="386"/>
    </row>
    <row r="912">
      <c r="A912" s="386"/>
    </row>
    <row r="913">
      <c r="A913" s="386"/>
    </row>
    <row r="914">
      <c r="A914" s="386"/>
    </row>
    <row r="915">
      <c r="A915" s="386"/>
    </row>
    <row r="916">
      <c r="A916" s="386"/>
    </row>
    <row r="917">
      <c r="A917" s="386"/>
    </row>
    <row r="918">
      <c r="A918" s="386"/>
    </row>
    <row r="919">
      <c r="A919" s="386"/>
    </row>
    <row r="920">
      <c r="A920" s="386"/>
    </row>
    <row r="921">
      <c r="A921" s="386"/>
    </row>
    <row r="922">
      <c r="A922" s="386"/>
    </row>
    <row r="923">
      <c r="A923" s="386"/>
    </row>
    <row r="924">
      <c r="A924" s="386"/>
    </row>
    <row r="925">
      <c r="A925" s="386"/>
    </row>
    <row r="926">
      <c r="A926" s="386"/>
    </row>
    <row r="927">
      <c r="A927" s="386"/>
    </row>
    <row r="928">
      <c r="A928" s="386"/>
    </row>
    <row r="929">
      <c r="A929" s="386"/>
    </row>
    <row r="930">
      <c r="A930" s="386"/>
    </row>
    <row r="931">
      <c r="A931" s="386"/>
    </row>
    <row r="932">
      <c r="A932" s="386"/>
    </row>
    <row r="933">
      <c r="A933" s="386"/>
    </row>
    <row r="934">
      <c r="A934" s="386"/>
    </row>
    <row r="935">
      <c r="A935" s="386"/>
    </row>
    <row r="936">
      <c r="A936" s="386"/>
    </row>
    <row r="937">
      <c r="A937" s="386"/>
    </row>
    <row r="938">
      <c r="A938" s="386"/>
    </row>
    <row r="939">
      <c r="A939" s="386"/>
    </row>
    <row r="940">
      <c r="A940" s="386"/>
    </row>
    <row r="941">
      <c r="A941" s="386"/>
    </row>
    <row r="942">
      <c r="A942" s="386"/>
    </row>
    <row r="943">
      <c r="A943" s="386"/>
    </row>
    <row r="944">
      <c r="A944" s="386"/>
    </row>
    <row r="945">
      <c r="A945" s="386"/>
    </row>
    <row r="946">
      <c r="A946" s="386"/>
    </row>
    <row r="947">
      <c r="A947" s="386"/>
    </row>
    <row r="948">
      <c r="A948" s="386"/>
    </row>
    <row r="949">
      <c r="A949" s="386"/>
    </row>
    <row r="950">
      <c r="A950" s="386"/>
    </row>
    <row r="951">
      <c r="A951" s="386"/>
    </row>
    <row r="952">
      <c r="A952" s="386"/>
    </row>
    <row r="953">
      <c r="A953" s="386"/>
    </row>
    <row r="954">
      <c r="A954" s="386"/>
    </row>
    <row r="955">
      <c r="A955" s="386"/>
    </row>
    <row r="956">
      <c r="A956" s="386"/>
    </row>
    <row r="957">
      <c r="A957" s="386"/>
    </row>
    <row r="958">
      <c r="A958" s="386"/>
    </row>
    <row r="959">
      <c r="A959" s="386"/>
    </row>
    <row r="960">
      <c r="A960" s="386"/>
    </row>
    <row r="961">
      <c r="A961" s="386"/>
    </row>
    <row r="962">
      <c r="A962" s="386"/>
    </row>
    <row r="963">
      <c r="A963" s="386"/>
    </row>
    <row r="964">
      <c r="A964" s="386"/>
    </row>
    <row r="965">
      <c r="A965" s="386"/>
    </row>
    <row r="966">
      <c r="A966" s="386"/>
    </row>
    <row r="967">
      <c r="A967" s="386"/>
    </row>
    <row r="968">
      <c r="A968" s="386"/>
    </row>
    <row r="969">
      <c r="A969" s="386"/>
    </row>
    <row r="970">
      <c r="A970" s="386"/>
    </row>
    <row r="971">
      <c r="A971" s="386"/>
    </row>
    <row r="972">
      <c r="A972" s="386"/>
    </row>
    <row r="973">
      <c r="A973" s="386"/>
    </row>
    <row r="974">
      <c r="A974" s="386"/>
    </row>
    <row r="975">
      <c r="A975" s="386"/>
    </row>
    <row r="976">
      <c r="A976" s="386"/>
    </row>
    <row r="977">
      <c r="A977" s="386"/>
    </row>
    <row r="978">
      <c r="A978" s="386"/>
    </row>
    <row r="979">
      <c r="A979" s="386"/>
    </row>
    <row r="980">
      <c r="A980" s="386"/>
    </row>
    <row r="981">
      <c r="A981" s="386"/>
    </row>
    <row r="982">
      <c r="A982" s="386"/>
    </row>
    <row r="983">
      <c r="A983" s="386"/>
    </row>
    <row r="984">
      <c r="A984" s="386"/>
    </row>
    <row r="985">
      <c r="A985" s="386"/>
    </row>
    <row r="986">
      <c r="A986" s="386"/>
    </row>
    <row r="987">
      <c r="A987" s="386"/>
    </row>
    <row r="988">
      <c r="A988" s="386"/>
    </row>
    <row r="989">
      <c r="A989" s="386"/>
    </row>
    <row r="990">
      <c r="A990" s="386"/>
    </row>
    <row r="991">
      <c r="A991" s="386"/>
    </row>
    <row r="992">
      <c r="A992" s="386"/>
    </row>
    <row r="993">
      <c r="A993" s="386"/>
    </row>
    <row r="994">
      <c r="A994" s="386"/>
    </row>
    <row r="995">
      <c r="A995" s="386"/>
    </row>
    <row r="996">
      <c r="A996" s="386"/>
    </row>
    <row r="997">
      <c r="A997" s="386"/>
    </row>
    <row r="998">
      <c r="A998" s="386"/>
    </row>
    <row r="999">
      <c r="A999" s="386"/>
    </row>
    <row r="1000">
      <c r="A1000" s="386"/>
    </row>
  </sheetData>
  <drawing r:id="rId1"/>
</worksheet>
</file>